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64-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3" localSheetId="0">'B64-CK'!$I$1</definedName>
    <definedName name="chuong_phuluc_53_name" localSheetId="0">'B64-CK'!$A$2</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'B64-CK'!$5:$7</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<sst xmlns="http://schemas.openxmlformats.org/spreadsheetml/2006/main" count="2165" uniqueCount="1535">
  <si>
    <t>(Dùng cho ngân sách các cấp chính quyền địa phương)</t>
  </si>
  <si>
    <t>Đơn vị: Triệu đồng</t>
  </si>
  <si>
    <t>STT</t>
  </si>
  <si>
    <t>Dự toán</t>
  </si>
  <si>
    <t>Quyết toán</t>
  </si>
  <si>
    <t>A</t>
  </si>
  <si>
    <t>B</t>
  </si>
  <si>
    <t>I</t>
  </si>
  <si>
    <t>-</t>
  </si>
  <si>
    <t>II</t>
  </si>
  <si>
    <t>III</t>
  </si>
  <si>
    <t>IV</t>
  </si>
  <si>
    <t>V</t>
  </si>
  <si>
    <t>Thu chuyển nguồn từ năm trước chuyển sang</t>
  </si>
  <si>
    <t>TỔNG CHI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</si>
  <si>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</si>
  <si>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</si>
  <si>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</si>
  <si>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</si>
  <si>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</si>
  <si>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</si>
  <si>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</si>
  <si>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</si>
  <si>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Chi chuyển nguồn sang năm sau</t>
  </si>
  <si>
    <t>C</t>
  </si>
  <si>
    <t>D</t>
  </si>
  <si>
    <t>E</t>
  </si>
  <si>
    <t>Nội dung</t>
  </si>
  <si>
    <t>So sánh (%)</t>
  </si>
  <si>
    <t>Chi bổ sung có mục tiêu</t>
  </si>
  <si>
    <t>3=2/1</t>
  </si>
  <si>
    <t>Chi giáo dục - đào tạo và dạy nghề</t>
  </si>
  <si>
    <t>Trong đó: Chia theo nguồn vốn</t>
  </si>
  <si>
    <t>Chi đầu tư từ nguồn thu tiền sử dụng đất</t>
  </si>
  <si>
    <t>Chi đầu tư từ nguồn thu xổ số kiến thiết</t>
  </si>
  <si>
    <t>Trong đó:</t>
  </si>
  <si>
    <t>Chi khoa học và công nghệ</t>
  </si>
  <si>
    <t>VI</t>
  </si>
  <si>
    <t>CHI CÁC CHƯƠNG TRÌNH MỤC TIÊU</t>
  </si>
  <si>
    <t>CHI CHUYỂN NGUỒN SANG NĂM SAU</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</si>
  <si>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</si>
  <si>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</si>
  <si>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</si>
  <si>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</si>
  <si>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</si>
  <si>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</si>
  <si>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</si>
  <si>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</si>
  <si>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</si>
  <si>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</si>
  <si>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</si>
  <si>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</si>
  <si>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Bao gồm</t>
  </si>
  <si>
    <t>Ngân sách địa phương</t>
  </si>
  <si>
    <t>1=2+3</t>
  </si>
  <si>
    <t>4=5+6</t>
  </si>
  <si>
    <t>7=4/1</t>
  </si>
  <si>
    <t>8=5/2</t>
  </si>
  <si>
    <t>9=6/3</t>
  </si>
  <si>
    <t>CHI CÂN ĐỐI NSĐP</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</si>
  <si>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</si>
  <si>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</si>
  <si>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</si>
  <si>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</si>
  <si>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</si>
  <si>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</si>
  <si>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</si>
  <si>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</si>
  <si>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</si>
  <si>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</si>
  <si>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</si>
  <si>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</si>
  <si>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</si>
  <si>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</si>
  <si>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</si>
  <si>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</si>
  <si>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</si>
  <si>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</si>
  <si>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</si>
  <si>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</si>
  <si>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</si>
  <si>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</si>
  <si>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</si>
  <si>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</si>
  <si>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</si>
  <si>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</si>
  <si>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</si>
  <si>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</si>
  <si>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</si>
  <si>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</si>
  <si>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</si>
  <si>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</si>
  <si>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</si>
  <si>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</si>
  <si>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</si>
  <si>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</si>
  <si>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</si>
  <si>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</si>
  <si>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</si>
  <si>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</si>
  <si>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</si>
  <si>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</si>
  <si>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</si>
  <si>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</si>
  <si>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</si>
  <si>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</si>
  <si>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</si>
  <si>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</si>
  <si>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</si>
  <si>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</si>
  <si>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</si>
  <si>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</si>
  <si>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</si>
  <si>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 xml:space="preserve">Nội dung </t>
  </si>
  <si>
    <t xml:space="preserve">Ngân sách cấp tỉnh </t>
  </si>
  <si>
    <t xml:space="preserve">Ngân sách huyện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</si>
  <si>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</si>
  <si>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</si>
  <si>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</si>
  <si>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</si>
  <si>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</si>
  <si>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</si>
  <si>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</si>
  <si>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</si>
  <si>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</si>
  <si>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</si>
  <si>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</si>
  <si>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</si>
  <si>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</si>
  <si>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</si>
  <si>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</si>
  <si>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</si>
  <si>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</si>
  <si>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 xml:space="preserve"> Chương trình mục tiêu quốc gia giảm nghèo</t>
  </si>
  <si>
    <t>Vốn sự nghiệp</t>
  </si>
  <si>
    <t>Vốn đầu tư</t>
  </si>
  <si>
    <t>Chi thực hiện Nghị quyết 02/2014/NQ-HĐND</t>
  </si>
  <si>
    <t>Chi thực hiện chính sách ưu đãi đầu tư theo NQ số 15/2016/NQ-HĐND</t>
  </si>
  <si>
    <t>CHI BỔ SUNG TỪ NGUỒN BS CÓ MỤC TIÊU</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</si>
  <si>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</si>
  <si>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</si>
  <si>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</si>
  <si>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</si>
  <si>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</si>
  <si>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</si>
  <si>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</si>
  <si>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</si>
  <si>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</si>
  <si>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</si>
  <si>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</si>
  <si>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</si>
  <si>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</si>
  <si>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</si>
  <si>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</si>
  <si>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</si>
  <si>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</si>
  <si>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</si>
  <si>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CHI SỰ NGHIỆP ĐỂ LẠI QUA NS</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</si>
  <si>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</si>
  <si>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</si>
  <si>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</si>
  <si>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</si>
  <si>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</si>
  <si>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</si>
  <si>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</si>
  <si>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</si>
  <si>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</si>
  <si>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</si>
  <si>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</si>
  <si>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</si>
  <si>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</si>
  <si>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</si>
  <si>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</si>
  <si>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</si>
  <si>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</si>
  <si>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</si>
  <si>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</si>
  <si>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</si>
  <si>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</si>
  <si>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</si>
  <si>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</si>
  <si>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</si>
  <si>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</si>
  <si>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</si>
  <si>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</si>
  <si>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</si>
  <si>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</si>
  <si>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</si>
  <si>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</si>
  <si>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</si>
  <si>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</si>
  <si>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</si>
  <si>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</si>
  <si>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</si>
  <si>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</si>
  <si>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</si>
  <si>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</si>
  <si>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</si>
  <si>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</si>
  <si>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</si>
  <si>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</si>
  <si>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</si>
  <si>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</si>
  <si>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</si>
  <si>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</si>
  <si>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</si>
  <si>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</si>
  <si>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</si>
  <si>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</si>
  <si>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</si>
  <si>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</si>
  <si>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</si>
  <si>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</si>
  <si>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</si>
  <si>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</si>
  <si>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</si>
  <si>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</si>
  <si>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</si>
  <si>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</si>
  <si>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</si>
  <si>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</si>
  <si>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</si>
  <si>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</si>
  <si>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</si>
  <si>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</si>
  <si>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</si>
  <si>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</si>
  <si>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</si>
  <si>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</si>
  <si>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</si>
  <si>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</si>
  <si>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</si>
  <si>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</si>
  <si>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</si>
  <si>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</si>
  <si>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</si>
  <si>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</si>
  <si>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</si>
  <si>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</si>
  <si>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</si>
  <si>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</si>
  <si>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</si>
  <si>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</si>
  <si>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</si>
  <si>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</si>
  <si>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</si>
  <si>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</si>
  <si>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</si>
  <si>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</si>
  <si>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</si>
  <si>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</si>
  <si>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</si>
  <si>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</si>
  <si>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</si>
  <si>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</si>
  <si>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</si>
  <si>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</si>
  <si>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</si>
  <si>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</si>
  <si>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</si>
  <si>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</si>
  <si>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</si>
  <si>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</si>
  <si>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</si>
  <si>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</si>
  <si>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</si>
  <si>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</si>
  <si>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</si>
  <si>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</si>
  <si>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</si>
  <si>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</si>
  <si>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</si>
  <si>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</si>
  <si>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</si>
  <si>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</si>
  <si>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</si>
  <si>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</si>
  <si>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</si>
  <si>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</si>
  <si>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</si>
  <si>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</si>
  <si>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</si>
  <si>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</si>
  <si>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</si>
  <si>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</si>
  <si>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</si>
  <si>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</si>
  <si>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</si>
  <si>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</si>
  <si>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</si>
  <si>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</si>
  <si>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</si>
  <si>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</si>
  <si>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</si>
  <si>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</si>
  <si>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</si>
  <si>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</si>
  <si>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</si>
  <si>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</si>
  <si>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</si>
  <si>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</si>
  <si>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</si>
  <si>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</si>
  <si>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</si>
  <si>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</si>
  <si>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</si>
  <si>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</si>
  <si>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</si>
  <si>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</si>
  <si>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</si>
  <si>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</si>
  <si>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</si>
  <si>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</si>
  <si>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</si>
  <si>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</si>
  <si>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</si>
  <si>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</si>
  <si>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</si>
  <si>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</si>
  <si>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</si>
  <si>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</si>
  <si>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</si>
  <si>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</si>
  <si>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</si>
  <si>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</si>
  <si>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</si>
  <si>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</si>
  <si>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</si>
  <si>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</si>
  <si>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</si>
  <si>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</si>
  <si>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</si>
  <si>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</si>
  <si>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</si>
  <si>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</si>
  <si>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</si>
  <si>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</si>
  <si>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</si>
  <si>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</si>
  <si>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</si>
  <si>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</si>
  <si>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</si>
  <si>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</si>
  <si>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</si>
  <si>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</si>
  <si>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</si>
  <si>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</si>
  <si>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</si>
  <si>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</si>
  <si>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</si>
  <si>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</si>
  <si>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</si>
  <si>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</si>
  <si>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</si>
  <si>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</si>
  <si>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</si>
  <si>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</si>
  <si>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</si>
  <si>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</si>
  <si>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</si>
  <si>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</si>
  <si>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</si>
  <si>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</si>
  <si>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</si>
  <si>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</si>
  <si>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</si>
  <si>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</si>
  <si>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</si>
  <si>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</si>
  <si>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</si>
  <si>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</si>
  <si>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</si>
  <si>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</si>
  <si>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</si>
  <si>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</si>
  <si>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</si>
  <si>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</si>
  <si>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</si>
  <si>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</si>
  <si>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</si>
  <si>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</si>
  <si>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</si>
  <si>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</si>
  <si>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</si>
  <si>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</si>
  <si>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</si>
  <si>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</si>
  <si>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</si>
  <si>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</si>
  <si>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</si>
  <si>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</si>
  <si>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</si>
  <si>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</si>
  <si>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</si>
  <si>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</si>
  <si>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</si>
  <si>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</si>
  <si>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</si>
  <si>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</si>
  <si>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</si>
  <si>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</si>
  <si>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</si>
  <si>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</si>
  <si>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</si>
  <si>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</si>
  <si>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</si>
  <si>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</si>
  <si>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</si>
  <si>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</si>
  <si>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</si>
  <si>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</si>
  <si>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</si>
  <si>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</si>
  <si>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</si>
  <si>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</si>
  <si>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</si>
  <si>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</si>
  <si>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</si>
  <si>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</si>
  <si>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</si>
  <si>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</si>
  <si>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</si>
  <si>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</si>
  <si>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</si>
  <si>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</si>
  <si>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</si>
  <si>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</si>
  <si>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</si>
  <si>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</si>
  <si>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</si>
  <si>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</si>
  <si>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</si>
  <si>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</si>
  <si>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</si>
  <si>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</si>
  <si>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</si>
  <si>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</si>
  <si>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</si>
  <si>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</si>
  <si>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</si>
  <si>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</si>
  <si>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</si>
  <si>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</si>
  <si>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</si>
  <si>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</si>
  <si>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</si>
  <si>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</si>
  <si>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</si>
  <si>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</si>
  <si>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</si>
  <si>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</si>
  <si>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</si>
  <si>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</si>
  <si>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</si>
  <si>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</si>
  <si>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</si>
  <si>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</si>
  <si>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</si>
  <si>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</si>
  <si>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</si>
  <si>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</si>
  <si>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</si>
  <si>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</si>
  <si>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</si>
  <si>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</si>
  <si>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</si>
  <si>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</si>
  <si>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</si>
  <si>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</si>
  <si>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</si>
  <si>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</si>
  <si>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</si>
  <si>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</si>
  <si>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</si>
  <si>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</si>
  <si>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</si>
  <si>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</si>
  <si>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</si>
  <si>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</si>
  <si>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</si>
  <si>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</si>
  <si>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</si>
  <si>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</si>
  <si>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</si>
  <si>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</si>
  <si>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</si>
  <si>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</si>
  <si>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</si>
  <si>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</si>
  <si>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</si>
  <si>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</si>
  <si>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</si>
  <si>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</si>
  <si>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</si>
  <si>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</si>
  <si>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</si>
  <si>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</si>
  <si>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</si>
  <si>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</si>
  <si>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</si>
  <si>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</si>
  <si>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</si>
  <si>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</si>
  <si>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</si>
  <si>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</si>
  <si>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</si>
  <si>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</si>
  <si>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</si>
  <si>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</si>
  <si>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</si>
  <si>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</si>
  <si>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</si>
  <si>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</si>
  <si>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</si>
  <si>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</si>
  <si>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</si>
  <si>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</si>
  <si>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</si>
  <si>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</si>
  <si>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</si>
  <si>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</si>
  <si>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</si>
  <si>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</si>
  <si>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</si>
  <si>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</si>
  <si>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</si>
  <si>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</si>
  <si>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</si>
  <si>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</si>
  <si>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</si>
  <si>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</si>
  <si>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</si>
  <si>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</si>
  <si>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</si>
  <si>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</si>
  <si>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</si>
  <si>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</si>
  <si>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</si>
  <si>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</si>
  <si>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</si>
  <si>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</si>
  <si>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</si>
  <si>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</si>
  <si>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</si>
  <si>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</si>
  <si>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</si>
  <si>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</si>
  <si>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</si>
  <si>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</si>
  <si>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</si>
  <si>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</si>
  <si>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</si>
  <si>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</si>
  <si>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</si>
  <si>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</si>
  <si>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</si>
  <si>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</si>
  <si>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</si>
  <si>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</si>
  <si>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</si>
  <si>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</si>
  <si>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</si>
  <si>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</si>
  <si>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</si>
  <si>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</si>
  <si>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</si>
  <si>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</si>
  <si>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</si>
  <si>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</si>
  <si>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</si>
  <si>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</si>
  <si>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</si>
  <si>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</si>
  <si>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</si>
  <si>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</si>
  <si>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</si>
  <si>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</si>
  <si>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</si>
  <si>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</si>
  <si>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</si>
  <si>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</si>
  <si>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</si>
  <si>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</si>
  <si>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</si>
  <si>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</si>
  <si>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</si>
  <si>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</si>
  <si>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</si>
  <si>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</si>
  <si>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</si>
  <si>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</si>
  <si>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</si>
  <si>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</si>
  <si>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</si>
  <si>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</si>
  <si>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</si>
  <si>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</si>
  <si>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</si>
  <si>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</si>
  <si>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</si>
  <si>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</si>
  <si>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</si>
  <si>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</si>
  <si>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</si>
  <si>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</si>
  <si>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</si>
  <si>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</si>
  <si>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</si>
  <si>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</si>
  <si>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</si>
  <si>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</si>
  <si>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</si>
  <si>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</si>
  <si>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</si>
  <si>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</si>
  <si>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</si>
  <si>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</si>
  <si>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</si>
  <si>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</si>
  <si>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</si>
  <si>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</si>
  <si>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</si>
  <si>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</si>
  <si>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</si>
  <si>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</si>
  <si>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</si>
  <si>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</si>
  <si>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</si>
  <si>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</si>
  <si>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</si>
  <si>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</si>
  <si>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</si>
  <si>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</si>
  <si>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</si>
  <si>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</si>
  <si>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</si>
  <si>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</si>
  <si>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</si>
  <si>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</si>
  <si>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</si>
  <si>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</si>
  <si>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</si>
  <si>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</si>
  <si>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</si>
  <si>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</si>
  <si>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</si>
  <si>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</si>
  <si>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</si>
  <si>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</si>
  <si>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</si>
  <si>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</si>
  <si>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</si>
  <si>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</si>
  <si>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</si>
  <si>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</si>
  <si>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</si>
  <si>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</si>
  <si>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</si>
  <si>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</si>
  <si>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</si>
  <si>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</si>
  <si>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</si>
  <si>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</si>
  <si>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</si>
  <si>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</si>
  <si>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</si>
  <si>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</si>
  <si>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</si>
  <si>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</si>
  <si>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</si>
  <si>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</si>
  <si>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</si>
  <si>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</si>
  <si>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</si>
  <si>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</si>
  <si>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</si>
  <si>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</si>
  <si>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</si>
  <si>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</si>
  <si>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</si>
  <si>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</si>
  <si>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</si>
  <si>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</si>
  <si>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</si>
  <si>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</si>
  <si>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</si>
  <si>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</si>
  <si>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</si>
  <si>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</si>
  <si>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</si>
  <si>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</si>
  <si>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</si>
  <si>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</si>
  <si>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</si>
  <si>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</si>
  <si>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</si>
  <si>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</si>
  <si>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</si>
  <si>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</si>
  <si>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</si>
  <si>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</si>
  <si>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</si>
  <si>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</si>
  <si>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</si>
  <si>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</si>
  <si>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</si>
  <si>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</si>
  <si>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</si>
  <si>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</si>
  <si>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</si>
  <si>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</si>
  <si>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</si>
  <si>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</si>
  <si>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</si>
  <si>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</si>
  <si>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</si>
  <si>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</si>
  <si>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</si>
  <si>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</si>
  <si>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</si>
  <si>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</si>
  <si>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</si>
  <si>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</si>
  <si>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</si>
  <si>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</si>
  <si>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</si>
  <si>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</si>
  <si>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</si>
  <si>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</si>
  <si>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</si>
  <si>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</si>
  <si>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</si>
  <si>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</si>
  <si>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</si>
  <si>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</si>
  <si>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</si>
  <si>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</si>
  <si>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</si>
  <si>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</si>
  <si>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</si>
  <si>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</si>
  <si>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</si>
  <si>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</si>
  <si>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</si>
  <si>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</si>
  <si>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</si>
  <si>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</si>
  <si>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</si>
  <si>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</si>
  <si>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</si>
  <si>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</si>
  <si>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</si>
  <si>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</si>
  <si>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</si>
  <si>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</si>
  <si>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</si>
  <si>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</si>
  <si>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</si>
  <si>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</si>
  <si>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</si>
  <si>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</si>
  <si>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</si>
  <si>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</si>
  <si>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</si>
  <si>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</si>
  <si>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</si>
  <si>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</si>
  <si>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</si>
  <si>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</si>
  <si>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</si>
  <si>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</si>
  <si>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</si>
  <si>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</si>
  <si>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</si>
  <si>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</si>
  <si>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</si>
  <si>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</si>
  <si>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</si>
  <si>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</si>
  <si>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</si>
  <si>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</si>
  <si>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</si>
  <si>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</si>
  <si>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</si>
  <si>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</si>
  <si>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</si>
  <si>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</si>
  <si>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</si>
  <si>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</si>
  <si>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</si>
  <si>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</si>
  <si>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</si>
  <si>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</si>
  <si>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</si>
  <si>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</si>
  <si>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</si>
  <si>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</si>
  <si>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</si>
  <si>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</si>
  <si>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</si>
  <si>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</si>
  <si>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</si>
  <si>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</si>
  <si>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</si>
  <si>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</si>
  <si>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</si>
  <si>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</si>
  <si>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</si>
  <si>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</si>
  <si>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</si>
  <si>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</si>
  <si>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</si>
  <si>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</si>
  <si>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</si>
  <si>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</si>
  <si>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</si>
  <si>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</si>
  <si>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</si>
  <si>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</si>
  <si>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</si>
  <si>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</si>
  <si>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</si>
  <si>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</si>
  <si>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</si>
  <si>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</si>
  <si>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</si>
  <si>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</si>
  <si>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</si>
  <si>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</si>
  <si>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</si>
  <si>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</si>
  <si>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</si>
  <si>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</si>
  <si>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</si>
  <si>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</si>
  <si>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</si>
  <si>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</si>
  <si>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</si>
  <si>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</si>
  <si>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</si>
  <si>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</si>
  <si>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</si>
  <si>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</si>
  <si>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</si>
  <si>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</si>
  <si>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</si>
  <si>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</si>
  <si>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</si>
  <si>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</si>
  <si>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</si>
  <si>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</si>
  <si>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F</t>
  </si>
  <si>
    <t>Nguồn Trái phiếu chính phủ</t>
  </si>
  <si>
    <t>Nguồn vốn nước ngoài</t>
  </si>
  <si>
    <t>Hỗ trợ xử lý ô nhiễm môi trường</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</si>
  <si>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</si>
  <si>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</si>
  <si>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</si>
  <si>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</si>
  <si>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</si>
  <si>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</si>
  <si>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</si>
  <si>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</si>
  <si>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</si>
  <si>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</si>
  <si>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</si>
  <si>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</si>
  <si>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</si>
  <si>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</si>
  <si>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</si>
  <si>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</si>
  <si>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</si>
  <si>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</si>
  <si>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</si>
  <si>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</si>
  <si>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</si>
  <si>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</si>
  <si>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</si>
  <si>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</si>
  <si>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</si>
  <si>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</si>
  <si>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</si>
  <si>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</si>
  <si>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</si>
  <si>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</si>
  <si>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</si>
  <si>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</si>
  <si>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</si>
  <si>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</si>
  <si>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</si>
  <si>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</si>
  <si>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</si>
  <si>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</si>
  <si>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</si>
  <si>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</si>
  <si>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</si>
  <si>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</si>
  <si>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</si>
  <si>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</si>
  <si>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</si>
  <si>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</si>
  <si>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</si>
  <si>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</si>
  <si>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</si>
  <si>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</si>
  <si>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</si>
  <si>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</si>
  <si>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</si>
  <si>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</si>
  <si>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</si>
  <si>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</si>
  <si>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</si>
  <si>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</si>
  <si>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</si>
  <si>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</si>
  <si>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</si>
  <si>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</si>
  <si>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</si>
  <si>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</si>
  <si>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</si>
  <si>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</si>
  <si>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</si>
  <si>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</si>
  <si>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</si>
  <si>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</si>
  <si>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</si>
  <si>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</si>
  <si>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</si>
  <si>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</si>
  <si>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</si>
  <si>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</si>
  <si>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</si>
  <si>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</si>
  <si>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</si>
  <si>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</si>
  <si>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</si>
  <si>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</si>
  <si>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</si>
  <si>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</si>
  <si>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</si>
  <si>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</si>
  <si>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</si>
  <si>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</si>
  <si>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</si>
  <si>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</si>
  <si>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</si>
  <si>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</si>
  <si>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</si>
  <si>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</si>
  <si>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</si>
  <si>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</si>
  <si>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</si>
  <si>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</si>
  <si>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</si>
  <si>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</si>
  <si>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</si>
  <si>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</si>
  <si>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</si>
  <si>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</si>
  <si>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</si>
  <si>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</si>
  <si>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</si>
  <si>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</si>
  <si>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</si>
  <si>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</si>
  <si>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</si>
  <si>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</si>
  <si>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</si>
  <si>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</si>
  <si>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</si>
  <si>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</si>
  <si>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</si>
  <si>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</si>
  <si>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</si>
  <si>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</si>
  <si>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</si>
  <si>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</si>
  <si>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</si>
  <si>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</si>
  <si>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</si>
  <si>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</si>
  <si>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</si>
  <si>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</si>
  <si>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</si>
  <si>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</si>
  <si>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</si>
  <si>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</si>
  <si>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</si>
  <si>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</si>
  <si>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</si>
  <si>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</si>
  <si>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</si>
  <si>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</si>
  <si>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</si>
  <si>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</si>
  <si>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</si>
  <si>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</si>
  <si>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</si>
  <si>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</si>
  <si>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</si>
  <si>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</si>
  <si>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</si>
  <si>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</si>
  <si>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</si>
  <si>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</si>
  <si>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</si>
  <si>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</si>
  <si>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</si>
  <si>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</si>
  <si>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</si>
  <si>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</si>
  <si>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</si>
  <si>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</si>
  <si>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</si>
  <si>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</si>
  <si>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</si>
  <si>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</si>
  <si>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</si>
  <si>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</si>
  <si>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</si>
  <si>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</si>
  <si>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</si>
  <si>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</si>
  <si>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</si>
  <si>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</si>
  <si>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</si>
  <si>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</si>
  <si>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</si>
  <si>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</si>
  <si>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</si>
  <si>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</si>
  <si>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</si>
  <si>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</si>
  <si>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</si>
  <si>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</si>
  <si>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</si>
  <si>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</si>
  <si>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</si>
  <si>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</si>
  <si>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</si>
  <si>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</si>
  <si>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</si>
  <si>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</si>
  <si>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</si>
  <si>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</si>
  <si>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</si>
  <si>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</si>
  <si>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</si>
  <si>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</si>
  <si>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</si>
  <si>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</si>
  <si>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</si>
  <si>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</si>
  <si>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</si>
  <si>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</si>
  <si>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</si>
  <si>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</si>
  <si>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 xml:space="preserve"> Chương trình mục tiêu quốc gia NTM</t>
  </si>
  <si>
    <t>CHI NỘP TRẢ NGÂN SÁCH CẤP TRÊN</t>
  </si>
  <si>
    <t>DT 02</t>
  </si>
  <si>
    <t>dt</t>
  </si>
  <si>
    <t>dt giao</t>
  </si>
  <si>
    <t>chênh lech qt</t>
  </si>
  <si>
    <t>DĐT</t>
  </si>
  <si>
    <t>sn</t>
  </si>
  <si>
    <t>Chương trình mục tiêu phát triển lâm nghiệp bền vững vốn sự nghiệp</t>
  </si>
  <si>
    <t>Chương trình mục tiêu hỗ trợ  phát triển hệ thống trợ giúp XH</t>
  </si>
  <si>
    <t xml:space="preserve">CTMT Giáo dục nghề nghiệp - Việc làm và an toàn lao động năm 2017 </t>
  </si>
  <si>
    <t>Chương trình mục tiêu Y tế - Dân số (00649)</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</si>
  <si>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</si>
  <si>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</si>
  <si>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</si>
  <si>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</si>
  <si>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</si>
  <si>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</si>
  <si>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</si>
  <si>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</si>
  <si>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</si>
  <si>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</si>
  <si>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</si>
  <si>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</si>
  <si>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</si>
  <si>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</si>
  <si>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</si>
  <si>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</si>
  <si>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</si>
  <si>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</si>
  <si>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</si>
  <si>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</si>
  <si>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</si>
  <si>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</si>
  <si>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</si>
  <si>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</si>
  <si>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</si>
  <si>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</si>
  <si>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</si>
  <si>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</si>
  <si>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</si>
  <si>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</si>
  <si>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</si>
  <si>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</si>
  <si>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</si>
  <si>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</si>
  <si>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</si>
  <si>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</si>
  <si>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</si>
  <si>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</si>
  <si>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</si>
  <si>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</si>
  <si>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</si>
  <si>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</si>
  <si>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</si>
  <si>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Vốn đầu tư ( bao gồm nguồn TPCP)</t>
  </si>
  <si>
    <t>Chương trình mục tiêu ma túy, tội phạm</t>
  </si>
  <si>
    <t>Chương trình muc tiêu Giáo dục</t>
  </si>
  <si>
    <t>Chương trình mục tiêu Vốn sự nghiệp</t>
  </si>
  <si>
    <t>Chương trình dự án Vốn đầu tư</t>
  </si>
  <si>
    <t>Chính sách trợ giúp pháp lý theo QĐ số 32/2016/QĐ-TTg</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</si>
  <si>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</si>
  <si>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</si>
  <si>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</si>
  <si>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</si>
  <si>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</si>
  <si>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</si>
  <si>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</si>
  <si>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</si>
  <si>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</si>
  <si>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</si>
  <si>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</si>
  <si>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</si>
  <si>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</si>
  <si>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</si>
  <si>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</si>
  <si>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</si>
  <si>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</si>
  <si>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</si>
  <si>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</si>
  <si>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</si>
  <si>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</si>
  <si>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</si>
  <si>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</si>
  <si>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</si>
  <si>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</si>
  <si>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</si>
  <si>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</si>
  <si>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</si>
  <si>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</si>
  <si>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</si>
  <si>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</si>
  <si>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</si>
  <si>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</si>
  <si>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</si>
  <si>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</si>
  <si>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</si>
  <si>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</si>
  <si>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</si>
  <si>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</si>
  <si>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</si>
  <si>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</si>
  <si>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</si>
  <si>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</si>
  <si>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</si>
  <si>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</si>
  <si>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</si>
  <si>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</si>
  <si>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</si>
  <si>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</si>
  <si>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</si>
  <si>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</si>
  <si>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</si>
  <si>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</si>
  <si>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</si>
  <si>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</si>
  <si>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</si>
  <si>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</si>
  <si>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</si>
  <si>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</si>
  <si>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</si>
  <si>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</si>
  <si>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</si>
  <si>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</si>
  <si>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</si>
  <si>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</si>
  <si>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</si>
  <si>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</si>
  <si>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</si>
  <si>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</si>
  <si>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</si>
  <si>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</si>
  <si>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</si>
  <si>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</si>
  <si>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</si>
  <si>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</si>
  <si>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</si>
  <si>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</si>
  <si>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</si>
  <si>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</si>
  <si>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</si>
  <si>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</si>
  <si>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</si>
  <si>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</si>
  <si>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</si>
  <si>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</si>
  <si>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</si>
  <si>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</si>
  <si>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</si>
  <si>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</si>
  <si>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</si>
  <si>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</si>
  <si>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</si>
  <si>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</si>
  <si>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</si>
  <si>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</si>
  <si>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</si>
  <si>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</si>
  <si>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</si>
  <si>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</si>
  <si>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</si>
  <si>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</si>
  <si>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</si>
  <si>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</si>
  <si>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</si>
  <si>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</si>
  <si>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</si>
  <si>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</si>
  <si>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</si>
  <si>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</si>
  <si>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</si>
  <si>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</si>
  <si>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</si>
  <si>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</si>
  <si>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</si>
  <si>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</si>
  <si>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</si>
  <si>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</si>
  <si>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</si>
  <si>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</si>
  <si>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</si>
  <si>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</si>
  <si>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</si>
  <si>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</si>
  <si>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</si>
  <si>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</si>
  <si>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</si>
  <si>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</si>
  <si>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</si>
  <si>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</si>
  <si>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</si>
  <si>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</si>
  <si>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</si>
  <si>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</si>
  <si>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</si>
  <si>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</si>
  <si>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</si>
  <si>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</si>
  <si>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</si>
  <si>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</si>
  <si>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</si>
  <si>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</si>
  <si>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</si>
  <si>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</si>
  <si>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</si>
  <si>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</si>
  <si>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</si>
  <si>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</si>
  <si>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</si>
  <si>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</si>
  <si>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</si>
  <si>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</si>
  <si>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</si>
  <si>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</si>
  <si>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</si>
  <si>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</si>
  <si>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</si>
  <si>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</si>
  <si>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</si>
  <si>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</si>
  <si>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</si>
  <si>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</si>
  <si>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</si>
  <si>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</si>
  <si>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</si>
  <si>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</si>
  <si>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</si>
  <si>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</si>
  <si>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</si>
  <si>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</si>
  <si>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</si>
  <si>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</si>
  <si>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</si>
  <si>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</si>
  <si>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</si>
  <si>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</si>
  <si>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</si>
  <si>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</si>
  <si>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</si>
  <si>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</si>
  <si>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</si>
  <si>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</si>
  <si>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</si>
  <si>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</si>
  <si>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</si>
  <si>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</si>
  <si>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</si>
  <si>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</si>
  <si>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</si>
  <si>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</si>
  <si>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</si>
  <si>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</si>
  <si>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</si>
  <si>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</si>
  <si>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</si>
  <si>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</si>
  <si>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</si>
  <si>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</si>
  <si>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</si>
  <si>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</si>
  <si>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</si>
  <si>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</si>
  <si>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</si>
  <si>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</si>
  <si>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</si>
  <si>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</si>
  <si>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</si>
  <si>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</si>
  <si>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</si>
  <si>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</si>
  <si>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</si>
  <si>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</si>
  <si>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</si>
  <si>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</si>
  <si>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</si>
  <si>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</si>
  <si>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</si>
  <si>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</si>
  <si>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</si>
  <si>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</si>
  <si>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</si>
  <si>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</si>
  <si>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</si>
  <si>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</si>
  <si>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</si>
  <si>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</si>
  <si>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</si>
  <si>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</si>
  <si>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</si>
  <si>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</si>
  <si>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</si>
  <si>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</si>
  <si>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</si>
  <si>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</si>
  <si>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</si>
  <si>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</si>
  <si>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</si>
  <si>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</si>
  <si>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</si>
  <si>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</si>
  <si>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</si>
  <si>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</si>
  <si>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</si>
  <si>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</si>
  <si>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</si>
  <si>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</si>
  <si>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</si>
  <si>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</si>
  <si>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</si>
  <si>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</si>
  <si>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</si>
  <si>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</si>
  <si>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</si>
  <si>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</si>
  <si>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</si>
  <si>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</si>
  <si>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</si>
  <si>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</si>
  <si>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</si>
  <si>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</si>
  <si>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</si>
  <si>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</si>
  <si>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</si>
  <si>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</si>
  <si>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</si>
  <si>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</si>
  <si>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</si>
  <si>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</si>
  <si>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</si>
  <si>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</si>
  <si>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</si>
  <si>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</si>
  <si>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</si>
  <si>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</si>
  <si>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</si>
  <si>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</si>
  <si>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</si>
  <si>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</si>
  <si>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</si>
  <si>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</si>
  <si>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</si>
  <si>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</si>
  <si>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</si>
  <si>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</si>
  <si>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</si>
  <si>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</si>
  <si>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</si>
  <si>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</si>
  <si>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</si>
  <si>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</si>
  <si>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</si>
  <si>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</si>
  <si>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</si>
  <si>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</si>
  <si>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</si>
  <si>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</si>
  <si>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</si>
  <si>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</si>
  <si>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</si>
  <si>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</si>
  <si>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</si>
  <si>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</si>
  <si>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</si>
  <si>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</si>
  <si>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</si>
  <si>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</si>
  <si>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</si>
  <si>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</si>
  <si>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</si>
  <si>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</si>
  <si>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</si>
  <si>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</si>
  <si>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</si>
  <si>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</si>
  <si>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</si>
  <si>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</si>
  <si>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</si>
  <si>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</si>
  <si>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</si>
  <si>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</si>
  <si>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</si>
  <si>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</si>
  <si>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</si>
  <si>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</si>
  <si>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</si>
  <si>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</si>
  <si>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</si>
  <si>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</si>
  <si>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</si>
  <si>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</si>
  <si>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</si>
  <si>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</si>
  <si>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</si>
  <si>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</si>
  <si>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</si>
  <si>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</si>
  <si>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</si>
  <si>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</si>
  <si>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</si>
  <si>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</si>
  <si>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</si>
  <si>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</si>
  <si>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</si>
  <si>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</si>
  <si>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</si>
  <si>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</si>
  <si>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</si>
  <si>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</si>
  <si>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</si>
  <si>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</si>
  <si>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</si>
  <si>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</si>
  <si>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</si>
  <si>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</si>
  <si>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</si>
  <si>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</si>
  <si>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</si>
  <si>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</si>
  <si>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</si>
  <si>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</si>
  <si>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</si>
  <si>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</si>
  <si>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</si>
  <si>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</si>
  <si>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</si>
  <si>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</si>
  <si>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</si>
  <si>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</si>
  <si>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</si>
  <si>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</si>
  <si>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</si>
  <si>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</si>
  <si>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</si>
  <si>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</si>
  <si>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</si>
  <si>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</si>
  <si>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</si>
  <si>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</si>
  <si>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</si>
  <si>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</si>
  <si>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</si>
  <si>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</si>
  <si>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</si>
  <si>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</si>
  <si>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</si>
  <si>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</si>
  <si>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</si>
  <si>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</si>
  <si>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</si>
  <si>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</si>
  <si>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</si>
  <si>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</si>
  <si>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</si>
  <si>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</si>
  <si>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</si>
  <si>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</si>
  <si>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</si>
  <si>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</si>
  <si>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</si>
  <si>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</si>
  <si>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</si>
  <si>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</si>
  <si>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</si>
  <si>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CHI TỪ NGUỒN VIỆN TRỢ</t>
  </si>
  <si>
    <t>Chi đầu tư công trình hỗ trợ 02 tỉnh Savannakhet- Salavan - Lào</t>
  </si>
  <si>
    <t>Chi thực hiện dự án hoàn thiện, hiện đại hóa hồ sơ, bản đồ địa giới hành chính và xây dựng cơ sở dữ liệu địa giới hành chính ( Dự án 513)</t>
  </si>
  <si>
    <t>Chi đầu tư từ nguồn bội chi</t>
  </si>
  <si>
    <t>Chi đầu tư và hỗ trợ vốn cho các doanh nghiệp cung cấp sản phẩm, dịch vụ công ích do Nhà nước đặt hàng,…</t>
  </si>
  <si>
    <t>Chi đầu tư khác ( Bố trí các dự án, công trình NSTW hỗ trợ từ những năm trước nhưng nay còn thiếu nguồn)</t>
  </si>
  <si>
    <t>Chi từ nguồn thu sắp xếp lại, xử lý nhà, đất của cơ quan, tổ chức đơn vị doanh nghiệp theo quy định của Luật Quản lý, sử dụng tài sản công</t>
  </si>
  <si>
    <t>Dự toán năm 2019</t>
  </si>
  <si>
    <t>QUYẾT TOÁN CHI NGÂN SÁCH ĐỊA PHƯƠNG, CHI NGÂN SÁCH CẤP TỈNH VÀ 
 CHI NGÂN SÁCH HUYỆN THEO CƠ CẤU CHI NĂM 2019</t>
  </si>
  <si>
    <t>Vốn đầu tư ( bao gồm nguồn viẹn trợ Ailen)</t>
  </si>
  <si>
    <t>Chương trình dự án (không bao gồm chương trình MTQG NTM)</t>
  </si>
  <si>
    <t>Chi thực hiện Nghị quyết 30/2017/NQ-HĐND ngày 14/12/2017 của HĐND tỉnh</t>
  </si>
  <si>
    <t>Hỗ trợ nhà ở cho người có công cách mạng</t>
  </si>
  <si>
    <t>Biểu số 64/CK-NSNN</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</si>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</sst>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6">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i/>
      <sz val="11"/>
      <color indexed="8"/>
      <name val="Cambria"/>
      <family val="1"/>
    </font>
    <font>
      <b/>
      <sz val="10"/>
      <name val="Cambria"/>
      <family val="1"/>
    </font>
    <font>
      <sz val="10"/>
      <name val="Cambria"/>
      <family val="1"/>
    </font>
    <font>
      <b/>
      <i/>
      <sz val="10"/>
      <name val="Cambria"/>
      <family val="1"/>
    </font>
    <font>
      <i/>
      <sz val="10"/>
      <name val="Cambria"/>
      <family val="1"/>
    </font>
    <font>
      <b/>
      <sz val="16"/>
      <color indexed="8"/>
      <name val="Times New Roman"/>
      <family val="1"/>
    </font>
    <font>
      <i/>
      <sz val="14"/>
      <color indexed="8"/>
      <name val="Times New Roman"/>
      <family val="1"/>
    </font>
    <font>
      <b/>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2"/>
      <color rgb="FF000000"/>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i/>
      <sz val="12"/>
      <color theme="1"/>
      <name val="Times New Roman"/>
      <family val="1"/>
    </font>
    <font>
      <b/>
      <i/>
      <sz val="12"/>
      <color rgb="FF000000"/>
      <name val="Times New Roman"/>
      <family val="1"/>
    </font>
    <font>
      <i/>
      <sz val="11"/>
      <color theme="1"/>
      <name val="Cambria"/>
      <family val="1"/>
    </font>
    <font>
      <i/>
      <sz val="10"/>
      <color rgb="FF000000"/>
      <name val="Times New Roman"/>
      <family val="1"/>
    </font>
    <font>
      <sz val="12"/>
      <color rgb="FFFF0000"/>
      <name val="Times New Roman"/>
      <family val="1"/>
    </font>
    <font>
      <b/>
      <sz val="10"/>
      <color theme="1"/>
      <name val="Cambria"/>
      <family val="1"/>
    </font>
    <font>
      <b/>
      <i/>
      <sz val="10"/>
      <color theme="1"/>
      <name val="Cambria"/>
      <family val="1"/>
    </font>
    <font>
      <b/>
      <i/>
      <sz val="12"/>
      <color theme="1"/>
      <name val="Times New Roman"/>
      <family val="1"/>
    </font>
    <font>
      <b/>
      <sz val="16"/>
      <color rgb="FF000000"/>
      <name val="Times New Roman"/>
      <family val="1"/>
    </font>
    <font>
      <i/>
      <sz val="14"/>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38"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cellStyleXfs>
  <cellXfs count="556">
    <xf numFmtId="0" fontId="0" fillId="0" borderId="0" xfId="0" applyFont="1" applyAlignment="1">
      <alignment/>
    </xf>
    <xf numFmtId="0" fontId="113" fillId="0" borderId="0" xfId="0" applyFont="1" applyAlignment="1">
      <alignment/>
    </xf>
    <xf numFmtId="0" fontId="114" fillId="0" borderId="0" xfId="0" applyFont="1" applyAlignment="1">
      <alignment horizontal="right"/>
    </xf>
    <xf numFmtId="0" fontId="115" fillId="0" borderId="0" xfId="0" applyFont="1" applyAlignment="1">
      <alignment horizontal="right"/>
    </xf>
    <xf numFmtId="0" fontId="114" fillId="0" borderId="12" xfId="0" applyFont="1" applyBorder="1" applyAlignment="1">
      <alignment wrapText="1"/>
    </xf>
    <xf numFmtId="0" fontId="116" fillId="0" borderId="0" xfId="0" applyFont="1" applyAlignment="1">
      <alignment/>
    </xf>
    <xf numFmtId="0" fontId="117" fillId="0" borderId="0" xfId="0" applyFont="1" applyAlignment="1">
      <alignment/>
    </xf>
    <xf numFmtId="0" fontId="115" fillId="0" borderId="0" xfId="0" applyFont="1" applyAlignment="1">
      <alignment/>
    </xf>
    <xf numFmtId="0" fontId="117" fillId="0" borderId="12" xfId="0" applyFont="1" applyBorder="1" applyAlignment="1">
      <alignment horizontal="center" vertical="top" wrapText="1"/>
    </xf>
    <xf numFmtId="0" fontId="117" fillId="0" borderId="12" xfId="0" applyFont="1" applyBorder="1" applyAlignment="1">
      <alignment vertical="top" wrapText="1"/>
    </xf>
    <xf numFmtId="0" fontId="117" fillId="0" borderId="12" xfId="0" applyFont="1" applyBorder="1" applyAlignment="1">
      <alignment horizontal="center" wrapText="1"/>
    </xf>
    <xf numFmtId="3" fontId="117" fillId="0" borderId="12" xfId="0" applyNumberFormat="1" applyFont="1" applyBorder="1" applyAlignment="1">
      <alignment horizontal="right" wrapText="1"/>
    </xf>
    <xf numFmtId="3" fontId="113" fillId="0" borderId="0" xfId="0" applyNumberFormat="1" applyFont="1" applyAlignment="1">
      <alignment/>
    </xf>
    <xf numFmtId="0" fontId="115" fillId="0" borderId="12" xfId="0" applyFont="1" applyBorder="1" applyAlignment="1">
      <alignment horizontal="center" wrapText="1"/>
    </xf>
    <xf numFmtId="0" fontId="118" fillId="0" borderId="0" xfId="0" applyFont="1" applyFill="1" applyAlignment="1">
      <alignment vertical="center" wrapText="1"/>
    </xf>
    <xf numFmtId="185" fontId="118" fillId="0" borderId="0" xfId="147" applyNumberFormat="1" applyFont="1" applyFill="1" applyAlignment="1">
      <alignment vertical="center" wrapText="1"/>
    </xf>
    <xf numFmtId="186" fontId="118" fillId="0" borderId="0" xfId="147" applyNumberFormat="1" applyFont="1" applyFill="1" applyAlignment="1">
      <alignment vertical="center" wrapText="1"/>
    </xf>
    <xf numFmtId="0" fontId="118" fillId="0" borderId="0" xfId="0" applyFont="1" applyFill="1" applyAlignment="1">
      <alignment horizontal="center" vertical="center" wrapText="1"/>
    </xf>
    <xf numFmtId="0" fontId="119" fillId="0" borderId="12" xfId="0" applyFont="1" applyFill="1" applyBorder="1" applyAlignment="1">
      <alignment vertical="center" wrapText="1"/>
    </xf>
    <xf numFmtId="186" fontId="119" fillId="0" borderId="12" xfId="147" applyNumberFormat="1" applyFont="1" applyFill="1" applyBorder="1" applyAlignment="1">
      <alignment horizontal="right" vertical="center" wrapText="1"/>
    </xf>
    <xf numFmtId="0" fontId="120" fillId="0" borderId="12" xfId="0" applyFont="1" applyFill="1" applyBorder="1" applyAlignment="1">
      <alignment horizontal="center" vertical="center" wrapText="1"/>
    </xf>
    <xf numFmtId="0" fontId="120" fillId="0" borderId="12" xfId="0" applyFont="1" applyFill="1" applyBorder="1" applyAlignment="1">
      <alignment vertical="center" wrapText="1"/>
    </xf>
    <xf numFmtId="186" fontId="120" fillId="0" borderId="12" xfId="147" applyNumberFormat="1" applyFont="1" applyFill="1" applyBorder="1" applyAlignment="1">
      <alignment horizontal="right" vertical="center" wrapText="1"/>
    </xf>
    <xf numFmtId="186" fontId="120" fillId="0" borderId="12" xfId="147" applyNumberFormat="1" applyFont="1" applyFill="1" applyBorder="1" applyAlignment="1">
      <alignment horizontal="center" vertical="center" wrapText="1"/>
    </xf>
    <xf numFmtId="185" fontId="120" fillId="0" borderId="12" xfId="147" applyNumberFormat="1" applyFont="1" applyFill="1" applyBorder="1" applyAlignment="1">
      <alignment horizontal="right" vertical="center" wrapText="1"/>
    </xf>
    <xf numFmtId="177" fontId="119" fillId="0" borderId="12" xfId="147" applyNumberFormat="1" applyFont="1" applyFill="1" applyBorder="1" applyAlignment="1">
      <alignment horizontal="right" vertical="center" wrapText="1"/>
    </xf>
    <xf numFmtId="0" fontId="119" fillId="0" borderId="12" xfId="147" applyNumberFormat="1" applyFont="1" applyFill="1" applyBorder="1" applyAlignment="1">
      <alignment horizontal="center" vertical="center" wrapText="1"/>
    </xf>
    <xf numFmtId="0" fontId="121"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186" fontId="122" fillId="0" borderId="12" xfId="147" applyNumberFormat="1" applyFont="1" applyFill="1" applyBorder="1" applyAlignment="1">
      <alignment horizontal="center" vertical="center" wrapText="1"/>
    </xf>
    <xf numFmtId="0" fontId="12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4"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0"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2"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19" fillId="0" borderId="14" xfId="0" applyFont="1" applyFill="1" applyBorder="1" applyAlignment="1">
      <alignment vertical="center" wrapText="1"/>
    </xf>
    <xf numFmtId="0" fontId="12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5" fillId="0" borderId="12" xfId="0" applyFont="1" applyFill="1" applyBorder="1" applyAlignment="1" quotePrefix="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5"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19"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4"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2"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0" fillId="0" borderId="0" xfId="0" applyFont="1" applyFill="1" applyAlignment="1">
      <alignment vertical="center" wrapText="1"/>
    </xf>
    <xf numFmtId="186" fontId="118"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3" fontId="11" fillId="0" borderId="12" xfId="0" applyNumberFormat="1" applyFont="1" applyFill="1" applyBorder="1" applyAlignment="1">
      <alignment vertical="center" wrapText="1"/>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6" fillId="0" borderId="0" xfId="0" applyFont="1" applyAlignment="1">
      <alignment/>
    </xf>
    <xf numFmtId="3" fontId="126" fillId="0" borderId="0" xfId="0" applyNumberFormat="1" applyFont="1" applyAlignment="1">
      <alignment/>
    </xf>
    <xf numFmtId="0" fontId="127" fillId="0" borderId="12" xfId="0" applyFont="1" applyBorder="1" applyAlignment="1">
      <alignment horizontal="center"/>
    </xf>
    <xf numFmtId="0" fontId="127" fillId="0" borderId="0" xfId="0" applyFont="1" applyAlignment="1">
      <alignment horizontal="center"/>
    </xf>
    <xf numFmtId="0" fontId="128" fillId="36" borderId="12" xfId="0" applyFont="1" applyFill="1" applyBorder="1" applyAlignment="1">
      <alignment/>
    </xf>
    <xf numFmtId="0" fontId="128" fillId="36" borderId="0" xfId="0" applyFont="1" applyFill="1" applyAlignment="1">
      <alignment/>
    </xf>
    <xf numFmtId="0" fontId="129" fillId="0" borderId="12" xfId="0" applyFont="1" applyBorder="1" applyAlignment="1">
      <alignment/>
    </xf>
    <xf numFmtId="3" fontId="129" fillId="0" borderId="12" xfId="0" applyNumberFormat="1" applyFont="1" applyBorder="1" applyAlignment="1">
      <alignment/>
    </xf>
    <xf numFmtId="2" fontId="129" fillId="0" borderId="12" xfId="0" applyNumberFormat="1" applyFont="1" applyBorder="1" applyAlignment="1">
      <alignment/>
    </xf>
    <xf numFmtId="0" fontId="129" fillId="0" borderId="0" xfId="0" applyFont="1" applyAlignment="1">
      <alignment/>
    </xf>
    <xf numFmtId="192" fontId="129" fillId="0" borderId="12" xfId="0" applyNumberFormat="1" applyFont="1" applyBorder="1" applyAlignment="1">
      <alignment/>
    </xf>
    <xf numFmtId="0" fontId="130" fillId="36" borderId="0" xfId="0" applyFont="1" applyFill="1" applyAlignment="1">
      <alignment/>
    </xf>
    <xf numFmtId="0" fontId="131"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17" fillId="35" borderId="12" xfId="0" applyFont="1" applyFill="1" applyBorder="1" applyAlignment="1">
      <alignment horizontal="center" vertical="top" wrapText="1"/>
    </xf>
    <xf numFmtId="0" fontId="117" fillId="35" borderId="12" xfId="0" applyFont="1" applyFill="1" applyBorder="1" applyAlignment="1">
      <alignment vertical="top" wrapText="1"/>
    </xf>
    <xf numFmtId="3" fontId="117" fillId="35" borderId="12" xfId="0" applyNumberFormat="1" applyFont="1" applyFill="1" applyBorder="1" applyAlignment="1">
      <alignment horizontal="right" wrapText="1"/>
    </xf>
    <xf numFmtId="0" fontId="117" fillId="35" borderId="12" xfId="0" applyFont="1" applyFill="1" applyBorder="1" applyAlignment="1">
      <alignment horizontal="center" wrapText="1"/>
    </xf>
    <xf numFmtId="0" fontId="113" fillId="35" borderId="0" xfId="0" applyFont="1" applyFill="1" applyAlignment="1">
      <alignment/>
    </xf>
    <xf numFmtId="0" fontId="114" fillId="0" borderId="12" xfId="0" applyFont="1" applyBorder="1" applyAlignment="1">
      <alignment horizontal="center" wrapText="1"/>
    </xf>
    <xf numFmtId="186" fontId="119" fillId="0" borderId="12" xfId="147" applyNumberFormat="1" applyFont="1" applyFill="1" applyBorder="1" applyAlignment="1">
      <alignment horizontal="center" vertical="center" wrapText="1"/>
    </xf>
    <xf numFmtId="0" fontId="118" fillId="0" borderId="0" xfId="0" applyFont="1" applyFill="1" applyAlignment="1">
      <alignment horizontal="left" vertical="center" wrapText="1"/>
    </xf>
    <xf numFmtId="0" fontId="119" fillId="0" borderId="12" xfId="0" applyFont="1" applyFill="1" applyBorder="1" applyAlignment="1">
      <alignment horizontal="center" vertical="center" wrapText="1"/>
    </xf>
    <xf numFmtId="0" fontId="117" fillId="36" borderId="12" xfId="0" applyFont="1" applyFill="1" applyBorder="1" applyAlignment="1">
      <alignment horizontal="center" vertical="top" wrapText="1"/>
    </xf>
    <xf numFmtId="0" fontId="117" fillId="36" borderId="12" xfId="0" applyFont="1" applyFill="1" applyBorder="1" applyAlignment="1">
      <alignment vertical="top" wrapText="1"/>
    </xf>
    <xf numFmtId="3" fontId="117" fillId="36" borderId="12" xfId="0" applyNumberFormat="1" applyFont="1" applyFill="1" applyBorder="1" applyAlignment="1">
      <alignment horizontal="right" wrapText="1"/>
    </xf>
    <xf numFmtId="0" fontId="117" fillId="36" borderId="12" xfId="0" applyFont="1" applyFill="1" applyBorder="1" applyAlignment="1">
      <alignment horizontal="center" wrapText="1"/>
    </xf>
    <xf numFmtId="0" fontId="113" fillId="36" borderId="0" xfId="0" applyFont="1" applyFill="1" applyAlignment="1">
      <alignment/>
    </xf>
    <xf numFmtId="0" fontId="132" fillId="37" borderId="12" xfId="0" applyFont="1" applyFill="1" applyBorder="1" applyAlignment="1">
      <alignment vertical="top" wrapText="1"/>
    </xf>
    <xf numFmtId="0" fontId="132" fillId="37" borderId="12" xfId="0" applyFont="1" applyFill="1" applyBorder="1" applyAlignment="1">
      <alignment horizontal="center" vertical="top" wrapText="1"/>
    </xf>
    <xf numFmtId="3" fontId="132" fillId="37" borderId="12" xfId="0" applyNumberFormat="1" applyFont="1" applyFill="1" applyBorder="1" applyAlignment="1">
      <alignment horizontal="right" wrapText="1"/>
    </xf>
    <xf numFmtId="0" fontId="132" fillId="37" borderId="12" xfId="0" applyFont="1" applyFill="1" applyBorder="1" applyAlignment="1">
      <alignment horizontal="center" wrapText="1"/>
    </xf>
    <xf numFmtId="0" fontId="133"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4"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horizontal="center" vertical="center" wrapText="1"/>
    </xf>
    <xf numFmtId="0" fontId="75" fillId="0" borderId="12" xfId="0" applyFont="1" applyBorder="1" applyAlignment="1">
      <alignment horizontal="center" vertical="center" wrapText="1"/>
    </xf>
    <xf numFmtId="0" fontId="75" fillId="0" borderId="12" xfId="0" applyFont="1" applyBorder="1" applyAlignment="1">
      <alignment horizontal="center" vertical="center"/>
    </xf>
    <xf numFmtId="0" fontId="75" fillId="0" borderId="12" xfId="0" applyFont="1" applyBorder="1" applyAlignment="1">
      <alignment/>
    </xf>
    <xf numFmtId="185" fontId="75" fillId="0" borderId="12" xfId="147" applyNumberFormat="1" applyFont="1" applyBorder="1" applyAlignment="1">
      <alignment/>
    </xf>
    <xf numFmtId="0" fontId="75" fillId="0" borderId="0" xfId="0" applyFont="1" applyAlignment="1">
      <alignment/>
    </xf>
    <xf numFmtId="0" fontId="76" fillId="0" borderId="12" xfId="0" applyFont="1" applyBorder="1" applyAlignment="1">
      <alignment horizontal="center" vertical="center"/>
    </xf>
    <xf numFmtId="0" fontId="76" fillId="0" borderId="12" xfId="0" applyFont="1" applyBorder="1" applyAlignment="1">
      <alignment horizontal="justify" vertical="justify"/>
    </xf>
    <xf numFmtId="185" fontId="76" fillId="0" borderId="12" xfId="147" applyNumberFormat="1" applyFont="1" applyBorder="1" applyAlignment="1">
      <alignment/>
    </xf>
    <xf numFmtId="0" fontId="76" fillId="0" borderId="12" xfId="0" applyFont="1" applyBorder="1" applyAlignment="1">
      <alignment/>
    </xf>
    <xf numFmtId="0" fontId="76" fillId="0" borderId="0" xfId="0" applyFont="1" applyAlignment="1">
      <alignment/>
    </xf>
    <xf numFmtId="0" fontId="74" fillId="0" borderId="12" xfId="0" applyFont="1" applyBorder="1" applyAlignment="1" quotePrefix="1">
      <alignment horizontal="center" vertical="center"/>
    </xf>
    <xf numFmtId="0" fontId="74" fillId="0" borderId="12" xfId="0" applyFont="1" applyBorder="1" applyAlignment="1">
      <alignment horizontal="justify" vertical="justify"/>
    </xf>
    <xf numFmtId="185" fontId="74" fillId="0" borderId="12" xfId="147" applyNumberFormat="1" applyFont="1" applyBorder="1" applyAlignment="1">
      <alignment/>
    </xf>
    <xf numFmtId="0" fontId="74" fillId="0" borderId="12" xfId="0" applyFont="1" applyBorder="1" applyAlignment="1">
      <alignment/>
    </xf>
    <xf numFmtId="185" fontId="76" fillId="35" borderId="12" xfId="147" applyNumberFormat="1" applyFont="1" applyFill="1" applyBorder="1" applyAlignment="1">
      <alignment/>
    </xf>
    <xf numFmtId="0" fontId="75" fillId="0" borderId="12" xfId="0" applyFont="1" applyBorder="1" applyAlignment="1">
      <alignment horizontal="justify" vertical="justify"/>
    </xf>
    <xf numFmtId="171" fontId="75" fillId="0" borderId="12" xfId="0" applyNumberFormat="1" applyFont="1" applyBorder="1" applyAlignment="1">
      <alignment/>
    </xf>
    <xf numFmtId="0" fontId="74" fillId="0" borderId="12" xfId="0" applyFont="1" applyBorder="1" applyAlignment="1">
      <alignment horizontal="center" vertical="center"/>
    </xf>
    <xf numFmtId="171" fontId="74" fillId="0" borderId="12" xfId="147" applyNumberFormat="1" applyFont="1" applyBorder="1" applyAlignment="1">
      <alignment/>
    </xf>
    <xf numFmtId="0" fontId="114" fillId="0" borderId="12" xfId="0" applyFont="1" applyBorder="1" applyAlignment="1">
      <alignment horizontal="center" vertical="center" wrapText="1"/>
    </xf>
    <xf numFmtId="0" fontId="135" fillId="0" borderId="12" xfId="0" applyFont="1" applyBorder="1" applyAlignment="1">
      <alignment horizontal="center" vertical="center" wrapText="1"/>
    </xf>
    <xf numFmtId="0" fontId="134" fillId="0" borderId="0" xfId="0" applyFont="1" applyAlignment="1">
      <alignment vertical="center"/>
    </xf>
    <xf numFmtId="0" fontId="107" fillId="0" borderId="0" xfId="0" applyFont="1" applyAlignment="1">
      <alignment vertical="center"/>
    </xf>
    <xf numFmtId="0" fontId="136" fillId="0" borderId="0" xfId="0" applyFont="1" applyAlignment="1">
      <alignment vertical="center"/>
    </xf>
    <xf numFmtId="3" fontId="137" fillId="0" borderId="12" xfId="0" applyNumberFormat="1" applyFont="1" applyBorder="1" applyAlignment="1">
      <alignment vertical="center" wrapText="1"/>
    </xf>
    <xf numFmtId="3" fontId="137" fillId="0" borderId="12" xfId="0" applyNumberFormat="1" applyFont="1" applyBorder="1" applyAlignment="1">
      <alignment horizontal="right" vertical="center" wrapText="1"/>
    </xf>
    <xf numFmtId="9" fontId="137" fillId="0" borderId="12" xfId="332" applyFont="1" applyBorder="1" applyAlignment="1">
      <alignment horizontal="center" vertical="center" wrapText="1"/>
    </xf>
    <xf numFmtId="0" fontId="117" fillId="0" borderId="0" xfId="0" applyFont="1" applyAlignment="1">
      <alignment vertical="center"/>
    </xf>
    <xf numFmtId="0" fontId="113" fillId="0" borderId="0" xfId="0" applyFont="1" applyAlignment="1">
      <alignment vertical="center"/>
    </xf>
    <xf numFmtId="0" fontId="114" fillId="0" borderId="12" xfId="0" applyFont="1" applyBorder="1" applyAlignment="1">
      <alignment vertical="center" wrapText="1"/>
    </xf>
    <xf numFmtId="3" fontId="117" fillId="0" borderId="12" xfId="0" applyNumberFormat="1" applyFont="1" applyBorder="1" applyAlignment="1">
      <alignment horizontal="right" vertical="center" wrapText="1"/>
    </xf>
    <xf numFmtId="0" fontId="117" fillId="0" borderId="12" xfId="0" applyFont="1" applyBorder="1" applyAlignment="1">
      <alignment horizontal="right" vertical="center" wrapText="1"/>
    </xf>
    <xf numFmtId="0" fontId="117" fillId="0" borderId="12" xfId="0" applyFont="1" applyBorder="1" applyAlignment="1">
      <alignment horizontal="center" vertical="center" wrapText="1"/>
    </xf>
    <xf numFmtId="0" fontId="138" fillId="0" borderId="0" xfId="0" applyFont="1" applyAlignment="1">
      <alignment vertical="center"/>
    </xf>
    <xf numFmtId="0" fontId="139" fillId="0" borderId="0" xfId="0" applyFont="1" applyAlignment="1">
      <alignment horizontal="right" vertical="center"/>
    </xf>
    <xf numFmtId="0" fontId="140" fillId="0" borderId="12" xfId="0" applyFont="1" applyBorder="1" applyAlignment="1">
      <alignment vertical="center" wrapText="1"/>
    </xf>
    <xf numFmtId="3" fontId="140" fillId="0" borderId="12" xfId="0" applyNumberFormat="1" applyFont="1" applyBorder="1" applyAlignment="1">
      <alignment vertical="center" wrapText="1"/>
    </xf>
    <xf numFmtId="9" fontId="140" fillId="0" borderId="12" xfId="332" applyFont="1" applyBorder="1" applyAlignment="1">
      <alignment vertical="center" wrapText="1"/>
    </xf>
    <xf numFmtId="0" fontId="137" fillId="0" borderId="12" xfId="0" applyFont="1" applyBorder="1" applyAlignment="1">
      <alignment horizontal="center" vertical="center" wrapText="1"/>
    </xf>
    <xf numFmtId="0" fontId="139" fillId="0" borderId="12" xfId="0" applyFont="1" applyBorder="1" applyAlignment="1">
      <alignment vertical="center" wrapText="1"/>
    </xf>
    <xf numFmtId="0" fontId="141" fillId="0" borderId="0" xfId="0" applyFont="1" applyAlignment="1">
      <alignment vertical="center"/>
    </xf>
    <xf numFmtId="0" fontId="137" fillId="0" borderId="12" xfId="0" applyFont="1" applyBorder="1" applyAlignment="1">
      <alignment vertical="center" wrapText="1"/>
    </xf>
    <xf numFmtId="3" fontId="140" fillId="0" borderId="12" xfId="0" applyNumberFormat="1" applyFont="1" applyBorder="1" applyAlignment="1">
      <alignment horizontal="right" vertical="center" wrapText="1"/>
    </xf>
    <xf numFmtId="9" fontId="140" fillId="0" borderId="12" xfId="332" applyFont="1" applyBorder="1" applyAlignment="1">
      <alignment horizontal="center" vertical="center" wrapText="1"/>
    </xf>
    <xf numFmtId="0" fontId="107" fillId="0" borderId="0" xfId="0" applyFont="1" applyAlignment="1">
      <alignment horizontal="right" vertical="center"/>
    </xf>
    <xf numFmtId="0" fontId="142" fillId="0" borderId="0" xfId="0" applyFont="1" applyAlignment="1">
      <alignment vertical="center"/>
    </xf>
    <xf numFmtId="3" fontId="107" fillId="0" borderId="0" xfId="0" applyNumberFormat="1" applyFont="1" applyAlignment="1">
      <alignment vertical="center"/>
    </xf>
    <xf numFmtId="0" fontId="143" fillId="0" borderId="0" xfId="0" applyFont="1" applyAlignment="1">
      <alignment vertical="center"/>
    </xf>
    <xf numFmtId="3" fontId="4" fillId="0" borderId="12" xfId="0" applyNumberFormat="1" applyFont="1" applyFill="1" applyBorder="1" applyAlignment="1">
      <alignment vertical="center" wrapText="1"/>
    </xf>
    <xf numFmtId="3" fontId="140" fillId="0" borderId="12" xfId="0" applyNumberFormat="1" applyFont="1" applyBorder="1" applyAlignment="1">
      <alignment horizontal="center" vertical="center" wrapText="1"/>
    </xf>
    <xf numFmtId="0" fontId="137" fillId="0" borderId="12" xfId="0" applyFont="1" applyBorder="1" applyAlignment="1">
      <alignment horizontal="right" vertical="center" wrapText="1"/>
    </xf>
    <xf numFmtId="0" fontId="140" fillId="0" borderId="12" xfId="0" applyFont="1" applyBorder="1" applyAlignment="1">
      <alignment horizontal="right" vertical="center" wrapText="1"/>
    </xf>
    <xf numFmtId="0" fontId="139" fillId="0" borderId="12" xfId="0" applyFont="1" applyBorder="1" applyAlignment="1">
      <alignment horizontal="center" vertical="center" wrapText="1"/>
    </xf>
    <xf numFmtId="3" fontId="139" fillId="0" borderId="12" xfId="0" applyNumberFormat="1" applyFont="1" applyBorder="1" applyAlignment="1">
      <alignment horizontal="right" vertical="center" wrapText="1"/>
    </xf>
    <xf numFmtId="1" fontId="137" fillId="0" borderId="12" xfId="0" applyNumberFormat="1" applyFont="1" applyBorder="1" applyAlignment="1">
      <alignment horizontal="right" vertical="center" wrapText="1"/>
    </xf>
    <xf numFmtId="0" fontId="114" fillId="0" borderId="12" xfId="0" applyFont="1" applyFill="1" applyBorder="1" applyAlignment="1">
      <alignment vertical="center" wrapText="1"/>
    </xf>
    <xf numFmtId="0" fontId="117" fillId="0" borderId="12" xfId="0" applyFont="1" applyFill="1" applyBorder="1" applyAlignment="1">
      <alignment vertical="center" wrapText="1"/>
    </xf>
    <xf numFmtId="0" fontId="117" fillId="0" borderId="12" xfId="0" applyFont="1" applyBorder="1" applyAlignment="1">
      <alignment horizontal="left" vertical="center" wrapText="1"/>
    </xf>
    <xf numFmtId="0" fontId="117" fillId="0" borderId="0" xfId="0" applyFont="1" applyAlignment="1">
      <alignment horizontal="right"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144" fillId="0" borderId="0" xfId="0" applyFont="1" applyAlignment="1">
      <alignment vertical="center"/>
    </xf>
    <xf numFmtId="3" fontId="114" fillId="0" borderId="12" xfId="0" applyNumberFormat="1" applyFont="1" applyBorder="1" applyAlignment="1">
      <alignment vertical="center" wrapText="1"/>
    </xf>
    <xf numFmtId="3" fontId="117" fillId="0" borderId="12" xfId="0" applyNumberFormat="1" applyFont="1" applyBorder="1" applyAlignment="1">
      <alignment vertical="center" wrapText="1"/>
    </xf>
    <xf numFmtId="0" fontId="115" fillId="0" borderId="12" xfId="0" applyFont="1" applyBorder="1" applyAlignment="1">
      <alignment horizontal="center" vertical="center" wrapText="1"/>
    </xf>
    <xf numFmtId="0" fontId="140" fillId="0" borderId="12" xfId="0" applyFont="1" applyBorder="1" applyAlignment="1">
      <alignment horizontal="center" vertical="center" wrapText="1"/>
    </xf>
    <xf numFmtId="0" fontId="135" fillId="0" borderId="0" xfId="0" applyFont="1" applyAlignment="1">
      <alignment horizontal="right" vertical="center"/>
    </xf>
    <xf numFmtId="0" fontId="145"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6"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3" fillId="0" borderId="12" xfId="0" applyFont="1" applyBorder="1" applyAlignment="1">
      <alignment vertical="center" wrapText="1"/>
    </xf>
    <xf numFmtId="0" fontId="114" fillId="0" borderId="12" xfId="0" applyFont="1" applyBorder="1" applyAlignment="1">
      <alignment horizontal="center" wrapText="1"/>
    </xf>
    <xf numFmtId="0" fontId="114" fillId="0" borderId="12" xfId="0" applyFont="1" applyBorder="1" applyAlignment="1">
      <alignment horizontal="center" vertical="center" wrapText="1"/>
    </xf>
    <xf numFmtId="3" fontId="142" fillId="0" borderId="0" xfId="0" applyNumberFormat="1" applyFont="1" applyAlignment="1">
      <alignment vertical="center"/>
    </xf>
    <xf numFmtId="0" fontId="126" fillId="0" borderId="0" xfId="0" applyFont="1" applyAlignment="1">
      <alignment/>
    </xf>
    <xf numFmtId="185" fontId="126" fillId="0" borderId="0" xfId="0" applyNumberFormat="1" applyFont="1" applyAlignment="1">
      <alignment/>
    </xf>
    <xf numFmtId="0" fontId="84" fillId="0" borderId="19" xfId="318" applyFont="1" applyFill="1" applyBorder="1" applyAlignment="1">
      <alignment horizontal="center"/>
      <protection/>
    </xf>
    <xf numFmtId="0" fontId="84" fillId="0" borderId="12" xfId="318" applyNumberFormat="1" applyFont="1" applyFill="1" applyBorder="1" applyAlignment="1">
      <alignment wrapText="1"/>
      <protection/>
    </xf>
    <xf numFmtId="3" fontId="84" fillId="0" borderId="19" xfId="0" applyNumberFormat="1" applyFont="1" applyFill="1" applyBorder="1" applyAlignment="1">
      <alignment horizontal="center" vertical="center" wrapText="1"/>
    </xf>
    <xf numFmtId="3" fontId="84" fillId="0" borderId="12" xfId="0" applyNumberFormat="1" applyFont="1" applyFill="1" applyBorder="1" applyAlignment="1">
      <alignment vertical="center" wrapText="1"/>
    </xf>
    <xf numFmtId="3" fontId="84" fillId="0" borderId="12" xfId="0" applyNumberFormat="1" applyFont="1" applyFill="1" applyBorder="1" applyAlignment="1">
      <alignment horizontal="right" vertical="center" wrapText="1"/>
    </xf>
    <xf numFmtId="0" fontId="147" fillId="0" borderId="0" xfId="0" applyFont="1" applyAlignment="1">
      <alignment/>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0" fontId="85" fillId="0" borderId="12" xfId="0" applyFont="1" applyFill="1" applyBorder="1" applyAlignment="1">
      <alignment vertical="center" wrapText="1"/>
    </xf>
    <xf numFmtId="1" fontId="85" fillId="0" borderId="12" xfId="0" applyNumberFormat="1" applyFont="1" applyFill="1" applyBorder="1" applyAlignment="1">
      <alignment vertical="center" wrapText="1"/>
    </xf>
    <xf numFmtId="0" fontId="114" fillId="0" borderId="19" xfId="0" applyFont="1" applyFill="1" applyBorder="1" applyAlignment="1">
      <alignment horizontal="center" vertical="center" wrapText="1"/>
    </xf>
    <xf numFmtId="49" fontId="85" fillId="0" borderId="12" xfId="0" applyNumberFormat="1" applyFont="1" applyFill="1" applyBorder="1" applyAlignment="1">
      <alignment horizontal="left" vertical="center" wrapText="1"/>
    </xf>
    <xf numFmtId="0" fontId="85" fillId="0" borderId="19" xfId="0" applyFont="1" applyFill="1" applyBorder="1" applyAlignment="1">
      <alignment horizontal="center"/>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wrapText="1"/>
    </xf>
    <xf numFmtId="0" fontId="84" fillId="0" borderId="19" xfId="0" applyFont="1" applyFill="1" applyBorder="1" applyAlignment="1">
      <alignment horizontal="center" vertical="center"/>
    </xf>
    <xf numFmtId="0" fontId="84"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4"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4" fillId="0" borderId="19" xfId="0" applyFont="1" applyFill="1" applyBorder="1" applyAlignment="1">
      <alignment horizontal="center" wrapText="1"/>
    </xf>
    <xf numFmtId="0" fontId="85" fillId="0" borderId="12" xfId="0" applyFont="1" applyFill="1" applyBorder="1" applyAlignment="1">
      <alignment horizontal="left" vertical="center" wrapText="1"/>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201" fontId="85" fillId="0" borderId="12" xfId="0" applyNumberFormat="1" applyFont="1" applyFill="1" applyBorder="1" applyAlignment="1">
      <alignment wrapText="1"/>
    </xf>
    <xf numFmtId="203" fontId="85" fillId="0" borderId="12" xfId="0" applyNumberFormat="1" applyFont="1" applyFill="1" applyBorder="1" applyAlignment="1">
      <alignment vertical="center" wrapText="1"/>
    </xf>
    <xf numFmtId="203" fontId="85" fillId="0" borderId="12" xfId="0" applyNumberFormat="1" applyFont="1" applyFill="1" applyBorder="1" applyAlignment="1">
      <alignment wrapText="1"/>
    </xf>
    <xf numFmtId="0" fontId="148" fillId="0" borderId="0" xfId="0" applyFont="1" applyAlignment="1">
      <alignment/>
    </xf>
    <xf numFmtId="49" fontId="86" fillId="0" borderId="12" xfId="0" applyNumberFormat="1"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201" fontId="86" fillId="0" borderId="12" xfId="0" applyNumberFormat="1" applyFont="1" applyFill="1" applyBorder="1" applyAlignment="1">
      <alignment wrapText="1"/>
    </xf>
    <xf numFmtId="185" fontId="114" fillId="0" borderId="12" xfId="147" applyNumberFormat="1" applyFont="1" applyBorder="1" applyAlignment="1">
      <alignment horizontal="right" wrapText="1"/>
    </xf>
    <xf numFmtId="0" fontId="117"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5" fillId="0" borderId="12" xfId="147" applyNumberFormat="1" applyFont="1" applyFill="1" applyBorder="1" applyAlignment="1">
      <alignment horizontal="left" vertical="center" wrapText="1"/>
    </xf>
    <xf numFmtId="0" fontId="84" fillId="0" borderId="12" xfId="0" applyFont="1" applyFill="1" applyBorder="1" applyAlignment="1">
      <alignment horizontal="left" vertical="center" wrapText="1"/>
    </xf>
    <xf numFmtId="0" fontId="85" fillId="0" borderId="12" xfId="0" applyFont="1" applyFill="1" applyBorder="1" applyAlignment="1">
      <alignment wrapText="1"/>
    </xf>
    <xf numFmtId="0" fontId="87" fillId="0" borderId="19" xfId="0" applyFont="1" applyFill="1" applyBorder="1" applyAlignment="1">
      <alignment horizontal="center"/>
    </xf>
    <xf numFmtId="0" fontId="87" fillId="0" borderId="12" xfId="0" applyFont="1" applyFill="1" applyBorder="1" applyAlignment="1">
      <alignment horizontal="left" vertical="center" wrapText="1"/>
    </xf>
    <xf numFmtId="0" fontId="85" fillId="0" borderId="19" xfId="0" applyFont="1" applyFill="1" applyBorder="1" applyAlignment="1">
      <alignment horizontal="center" vertical="center"/>
    </xf>
    <xf numFmtId="0" fontId="84" fillId="0" borderId="12" xfId="0" applyFont="1" applyFill="1" applyBorder="1" applyAlignment="1">
      <alignment vertical="center" wrapText="1"/>
    </xf>
    <xf numFmtId="0" fontId="84"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4" fillId="0" borderId="19" xfId="318" applyFont="1" applyFill="1" applyBorder="1" applyAlignment="1">
      <alignment horizontal="center" vertical="center"/>
      <protection/>
    </xf>
    <xf numFmtId="0" fontId="84" fillId="0" borderId="12" xfId="318" applyFont="1" applyFill="1" applyBorder="1" applyAlignment="1">
      <alignment vertical="center" wrapText="1"/>
      <protection/>
    </xf>
    <xf numFmtId="0" fontId="85" fillId="0" borderId="18" xfId="318" applyFont="1" applyFill="1" applyBorder="1" applyAlignment="1">
      <alignment vertical="center" wrapText="1"/>
      <protection/>
    </xf>
    <xf numFmtId="0" fontId="114" fillId="0" borderId="12" xfId="0" applyFont="1" applyBorder="1" applyAlignment="1">
      <alignment horizontal="right" vertical="center" wrapText="1"/>
    </xf>
    <xf numFmtId="185" fontId="114" fillId="0" borderId="12" xfId="147" applyNumberFormat="1" applyFont="1" applyBorder="1" applyAlignment="1">
      <alignment horizontal="right" vertical="center" wrapText="1"/>
    </xf>
    <xf numFmtId="185" fontId="126" fillId="0" borderId="12" xfId="0" applyNumberFormat="1" applyFont="1" applyBorder="1" applyAlignment="1">
      <alignment horizontal="right" vertical="center"/>
    </xf>
    <xf numFmtId="3" fontId="114" fillId="0" borderId="12" xfId="0" applyNumberFormat="1"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16" fillId="0" borderId="12" xfId="147" applyNumberFormat="1" applyFont="1" applyBorder="1" applyAlignment="1">
      <alignment horizontal="right" vertical="center" wrapText="1"/>
    </xf>
    <xf numFmtId="0" fontId="116" fillId="0" borderId="12" xfId="0" applyFont="1" applyBorder="1" applyAlignment="1">
      <alignment horizontal="right" vertical="center" wrapText="1"/>
    </xf>
    <xf numFmtId="3" fontId="116" fillId="0" borderId="12" xfId="0" applyNumberFormat="1" applyFont="1" applyBorder="1" applyAlignment="1">
      <alignment horizontal="right" vertical="center" wrapText="1"/>
    </xf>
    <xf numFmtId="3" fontId="85" fillId="0" borderId="12" xfId="0" applyNumberFormat="1" applyFont="1" applyFill="1" applyBorder="1" applyAlignment="1">
      <alignment horizontal="right" vertical="center" wrapText="1"/>
    </xf>
    <xf numFmtId="185" fontId="117" fillId="0" borderId="12" xfId="147" applyNumberFormat="1" applyFont="1" applyBorder="1" applyAlignment="1">
      <alignment horizontal="right"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185" fontId="20" fillId="0" borderId="12" xfId="147" applyNumberFormat="1" applyFont="1" applyFill="1" applyBorder="1" applyAlignment="1">
      <alignment horizontal="right" vertical="center" wrapText="1"/>
    </xf>
    <xf numFmtId="185" fontId="120"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0"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5" fillId="0" borderId="12" xfId="147" applyNumberFormat="1" applyFont="1" applyFill="1" applyBorder="1" applyAlignment="1">
      <alignment horizontal="right" vertical="center" wrapText="1"/>
    </xf>
    <xf numFmtId="185" fontId="120"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2" fillId="0" borderId="14" xfId="147" applyNumberFormat="1" applyFont="1" applyFill="1" applyBorder="1" applyAlignment="1">
      <alignment horizontal="right" vertical="center" wrapText="1"/>
    </xf>
    <xf numFmtId="0" fontId="12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08" fillId="0" borderId="0" xfId="0" applyFont="1" applyFill="1" applyAlignment="1">
      <alignment vertical="center" wrapText="1"/>
    </xf>
    <xf numFmtId="181" fontId="140" fillId="0" borderId="12" xfId="0" applyNumberFormat="1" applyFont="1" applyBorder="1" applyAlignment="1">
      <alignment horizontal="right" vertical="center" wrapText="1"/>
    </xf>
    <xf numFmtId="3" fontId="107" fillId="0" borderId="0" xfId="0" applyNumberFormat="1" applyFont="1" applyAlignment="1">
      <alignment vertical="center"/>
    </xf>
    <xf numFmtId="4" fontId="140" fillId="0" borderId="12" xfId="0" applyNumberFormat="1" applyFont="1" applyBorder="1" applyAlignment="1">
      <alignment horizontal="right" vertical="center" wrapText="1"/>
    </xf>
    <xf numFmtId="0" fontId="4" fillId="0" borderId="12" xfId="0" applyNumberFormat="1" applyFont="1" applyFill="1" applyBorder="1" applyAlignment="1">
      <alignment vertical="center" wrapText="1"/>
    </xf>
    <xf numFmtId="0" fontId="140" fillId="0" borderId="12" xfId="0" applyFont="1" applyBorder="1" applyAlignment="1">
      <alignment horizontal="center" vertical="center" wrapText="1"/>
    </xf>
    <xf numFmtId="0" fontId="107" fillId="0" borderId="12" xfId="0" applyFont="1" applyBorder="1" applyAlignment="1">
      <alignment vertical="center" wrapText="1"/>
    </xf>
    <xf numFmtId="0" fontId="141" fillId="0" borderId="12" xfId="0" applyFont="1" applyBorder="1" applyAlignment="1">
      <alignment vertical="center" wrapText="1"/>
    </xf>
    <xf numFmtId="0" fontId="149" fillId="0" borderId="12" xfId="0" applyFont="1" applyBorder="1" applyAlignment="1">
      <alignment vertical="center" wrapText="1"/>
    </xf>
    <xf numFmtId="0" fontId="143" fillId="0" borderId="12" xfId="0" applyFont="1" applyBorder="1" applyAlignment="1">
      <alignment horizontal="center" vertical="center" wrapText="1"/>
    </xf>
    <xf numFmtId="0" fontId="4" fillId="0" borderId="12" xfId="318" applyFont="1" applyFill="1" applyBorder="1" applyAlignment="1">
      <alignment vertical="center" wrapText="1"/>
      <protection/>
    </xf>
    <xf numFmtId="0" fontId="139" fillId="0" borderId="12" xfId="0" applyFont="1" applyBorder="1" applyAlignment="1">
      <alignment horizontal="right" vertical="center" wrapText="1"/>
    </xf>
    <xf numFmtId="0" fontId="140" fillId="0" borderId="12" xfId="0" applyFont="1" applyBorder="1" applyAlignment="1">
      <alignment horizontal="center" vertical="center" wrapText="1"/>
    </xf>
    <xf numFmtId="0" fontId="140" fillId="0" borderId="0" xfId="0" applyFont="1" applyAlignment="1">
      <alignment horizontal="center" vertical="center"/>
    </xf>
    <xf numFmtId="0" fontId="150" fillId="0" borderId="0" xfId="0" applyFont="1" applyAlignment="1">
      <alignment horizontal="center" vertical="center" wrapText="1"/>
    </xf>
    <xf numFmtId="0" fontId="150" fillId="0" borderId="0" xfId="0" applyFont="1" applyAlignment="1">
      <alignment horizontal="center" vertical="center"/>
    </xf>
    <xf numFmtId="0" fontId="140" fillId="0" borderId="18" xfId="0" applyFont="1" applyBorder="1" applyAlignment="1">
      <alignment horizontal="center" vertical="center" wrapText="1"/>
    </xf>
    <xf numFmtId="0" fontId="140" fillId="0" borderId="20" xfId="0" applyFont="1" applyBorder="1" applyAlignment="1">
      <alignment horizontal="center" vertical="center" wrapText="1"/>
    </xf>
    <xf numFmtId="0" fontId="151" fillId="0" borderId="0" xfId="0" applyFont="1" applyAlignment="1">
      <alignment horizontal="center" vertical="center"/>
    </xf>
    <xf numFmtId="0" fontId="118" fillId="0" borderId="0" xfId="0" applyFont="1" applyFill="1" applyAlignment="1" quotePrefix="1">
      <alignment horizontal="left" vertical="center"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8"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52" fillId="0" borderId="0" xfId="0" applyFont="1" applyFill="1" applyAlignment="1">
      <alignment horizontal="center" vertical="center" wrapText="1"/>
    </xf>
    <xf numFmtId="0" fontId="153" fillId="0" borderId="0" xfId="0" applyFont="1" applyFill="1" applyAlignment="1">
      <alignment horizontal="center" vertical="center" wrapText="1"/>
    </xf>
    <xf numFmtId="0" fontId="118" fillId="0" borderId="21" xfId="0" applyFont="1" applyFill="1" applyBorder="1" applyAlignment="1">
      <alignment horizontal="left" vertical="center" wrapText="1"/>
    </xf>
    <xf numFmtId="186" fontId="125" fillId="0" borderId="21" xfId="147" applyNumberFormat="1" applyFont="1" applyFill="1" applyBorder="1" applyAlignment="1">
      <alignment horizontal="center" vertical="center" wrapText="1"/>
    </xf>
    <xf numFmtId="0" fontId="119" fillId="0" borderId="18"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24" fillId="33" borderId="0" xfId="0" applyNumberFormat="1" applyFont="1" applyFill="1" applyAlignment="1">
      <alignment horizontal="center"/>
    </xf>
    <xf numFmtId="0" fontId="114" fillId="0" borderId="12" xfId="0" applyFont="1" applyBorder="1" applyAlignment="1">
      <alignment horizontal="center" vertical="center" wrapText="1"/>
    </xf>
    <xf numFmtId="0" fontId="114" fillId="0" borderId="0" xfId="0" applyFont="1" applyAlignment="1">
      <alignment horizontal="center"/>
    </xf>
    <xf numFmtId="0" fontId="114" fillId="0" borderId="12" xfId="0" applyFont="1" applyBorder="1" applyAlignment="1">
      <alignment horizontal="center" wrapText="1"/>
    </xf>
    <xf numFmtId="0" fontId="114" fillId="0" borderId="18"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20" xfId="0" applyFont="1" applyBorder="1" applyAlignment="1">
      <alignment horizontal="center" vertical="center" wrapText="1"/>
    </xf>
    <xf numFmtId="0" fontId="115" fillId="0" borderId="0" xfId="0" applyFont="1" applyAlignment="1">
      <alignment horizontal="center" vertical="center"/>
    </xf>
    <xf numFmtId="0" fontId="154"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5" fillId="0" borderId="18"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0" xfId="0" applyNumberFormat="1" applyFont="1" applyAlignment="1">
      <alignment horizontal="center" wrapText="1"/>
    </xf>
    <xf numFmtId="0" fontId="75" fillId="0" borderId="0" xfId="0" applyFont="1" applyAlignment="1">
      <alignment horizontal="center"/>
    </xf>
    <xf numFmtId="0" fontId="92" fillId="0" borderId="21" xfId="0" applyFont="1" applyBorder="1" applyAlignment="1">
      <alignment horizontal="center"/>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0" xfId="0" applyFont="1" applyAlignment="1">
      <alignment horizontal="center" vertical="center"/>
    </xf>
    <xf numFmtId="0" fontId="145"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M81"/>
  <sheetViews>
    <sheetView tabSelected="1" zoomScale="70" zoomScaleNormal="70" zoomScalePageLayoutView="0" workbookViewId="0" topLeftCell="A1">
      <selection activeCell="B13" sqref="B13"/>
    </sheetView>
  </sheetViews>
  <sheetFormatPr defaultColWidth="9.00390625" defaultRowHeight="15"/>
  <cols>
    <col min="1" max="1" width="4.00390625" style="331" customWidth="1"/>
    <col min="2" max="2" width="41.7109375" style="331" customWidth="1"/>
    <col min="3" max="3" width="10.8515625" style="353" customWidth="1"/>
    <col min="4" max="5" width="11.421875" style="331" customWidth="1"/>
    <col min="6" max="6" width="15.421875" style="331" customWidth="1"/>
    <col min="7" max="7" width="14.7109375" style="331" customWidth="1"/>
    <col min="8" max="8" width="15.28125" style="331" customWidth="1"/>
    <col min="9" max="9" width="11.421875" style="331" bestFit="1" customWidth="1"/>
    <col min="10" max="11" width="10.00390625" style="331" customWidth="1"/>
    <col min="12" max="16384" width="9.00390625" style="331" customWidth="1"/>
  </cols>
  <sheetData>
    <row r="1" spans="9:11" ht="15.75">
      <c r="I1" s="512" t="s">
        <v>1533</v>
      </c>
      <c r="J1" s="512"/>
      <c r="K1" s="512"/>
    </row>
    <row r="2" spans="1:11" ht="55.5" customHeight="1">
      <c r="A2" s="513" t="s">
        <v>1528</v>
      </c>
      <c r="B2" s="514"/>
      <c r="C2" s="514"/>
      <c r="D2" s="514"/>
      <c r="E2" s="514"/>
      <c r="F2" s="514"/>
      <c r="G2" s="514"/>
      <c r="H2" s="514"/>
      <c r="I2" s="514"/>
      <c r="J2" s="514"/>
      <c r="K2" s="514"/>
    </row>
    <row r="3" spans="1:11" ht="26.25" customHeight="1">
      <c r="A3" s="517" t="s">
        <v>1534</v>
      </c>
      <c r="B3" s="517"/>
      <c r="C3" s="517"/>
      <c r="D3" s="517"/>
      <c r="E3" s="517"/>
      <c r="F3" s="517"/>
      <c r="G3" s="517"/>
      <c r="H3" s="517"/>
      <c r="I3" s="517"/>
      <c r="J3" s="517"/>
      <c r="K3" s="517"/>
    </row>
    <row r="4" spans="5:11" ht="15.75">
      <c r="E4" s="355"/>
      <c r="F4" s="355"/>
      <c r="G4" s="355"/>
      <c r="H4" s="355"/>
      <c r="K4" s="343" t="s">
        <v>1</v>
      </c>
    </row>
    <row r="5" spans="1:11" ht="21.75" customHeight="1">
      <c r="A5" s="511" t="s">
        <v>2</v>
      </c>
      <c r="B5" s="511" t="s">
        <v>113</v>
      </c>
      <c r="C5" s="515" t="s">
        <v>1527</v>
      </c>
      <c r="D5" s="511" t="s">
        <v>52</v>
      </c>
      <c r="E5" s="511"/>
      <c r="F5" s="511" t="s">
        <v>4</v>
      </c>
      <c r="G5" s="511" t="s">
        <v>52</v>
      </c>
      <c r="H5" s="511"/>
      <c r="I5" s="511" t="s">
        <v>28</v>
      </c>
      <c r="J5" s="511"/>
      <c r="K5" s="511"/>
    </row>
    <row r="6" spans="1:11" ht="53.25" customHeight="1">
      <c r="A6" s="511"/>
      <c r="B6" s="511"/>
      <c r="C6" s="516"/>
      <c r="D6" s="504" t="s">
        <v>114</v>
      </c>
      <c r="E6" s="504" t="s">
        <v>115</v>
      </c>
      <c r="F6" s="511"/>
      <c r="G6" s="504" t="s">
        <v>114</v>
      </c>
      <c r="H6" s="504" t="s">
        <v>115</v>
      </c>
      <c r="I6" s="504" t="s">
        <v>53</v>
      </c>
      <c r="J6" s="504" t="s">
        <v>114</v>
      </c>
      <c r="K6" s="504" t="s">
        <v>115</v>
      </c>
    </row>
    <row r="7" spans="1:11" s="354" customFormat="1" ht="19.5" customHeight="1">
      <c r="A7" s="361" t="s">
        <v>5</v>
      </c>
      <c r="B7" s="361" t="s">
        <v>6</v>
      </c>
      <c r="C7" s="361" t="s">
        <v>54</v>
      </c>
      <c r="D7" s="361">
        <v>2</v>
      </c>
      <c r="E7" s="361">
        <v>3</v>
      </c>
      <c r="F7" s="361" t="s">
        <v>55</v>
      </c>
      <c r="G7" s="361">
        <v>5</v>
      </c>
      <c r="H7" s="361">
        <v>6</v>
      </c>
      <c r="I7" s="361" t="s">
        <v>56</v>
      </c>
      <c r="J7" s="361" t="s">
        <v>57</v>
      </c>
      <c r="K7" s="361" t="s">
        <v>58</v>
      </c>
    </row>
    <row r="8" spans="1:11" s="349" customFormat="1" ht="31.5" customHeight="1">
      <c r="A8" s="504"/>
      <c r="B8" s="344" t="s">
        <v>14</v>
      </c>
      <c r="C8" s="351">
        <v>7906788</v>
      </c>
      <c r="D8" s="358">
        <v>4483413</v>
      </c>
      <c r="E8" s="358">
        <v>3423375</v>
      </c>
      <c r="F8" s="351">
        <v>10246240.26335312</v>
      </c>
      <c r="G8" s="351">
        <v>5435565.03500112</v>
      </c>
      <c r="H8" s="351">
        <v>4810675.228352</v>
      </c>
      <c r="I8" s="352">
        <v>1.2958789666996409</v>
      </c>
      <c r="J8" s="352">
        <v>1.21237214483723</v>
      </c>
      <c r="K8" s="352">
        <v>1.4052434303434476</v>
      </c>
    </row>
    <row r="9" spans="1:11" s="349" customFormat="1" ht="27.75" customHeight="1">
      <c r="A9" s="504" t="s">
        <v>5</v>
      </c>
      <c r="B9" s="344" t="s">
        <v>59</v>
      </c>
      <c r="C9" s="351">
        <v>5996898</v>
      </c>
      <c r="D9" s="358">
        <v>2647620</v>
      </c>
      <c r="E9" s="358">
        <v>3349278</v>
      </c>
      <c r="F9" s="351">
        <v>6019232.15494312</v>
      </c>
      <c r="G9" s="351">
        <v>2261633.264943119</v>
      </c>
      <c r="H9" s="351">
        <v>3757598.89</v>
      </c>
      <c r="I9" s="352">
        <v>1.003724284612331</v>
      </c>
      <c r="J9" s="352">
        <v>0.8542136956750286</v>
      </c>
      <c r="K9" s="352">
        <v>1.1219131078399585</v>
      </c>
    </row>
    <row r="10" spans="1:11" s="349" customFormat="1" ht="27.75" customHeight="1">
      <c r="A10" s="504" t="s">
        <v>7</v>
      </c>
      <c r="B10" s="344" t="s">
        <v>15</v>
      </c>
      <c r="C10" s="351">
        <v>1117382</v>
      </c>
      <c r="D10" s="351">
        <v>666238</v>
      </c>
      <c r="E10" s="351">
        <v>451144</v>
      </c>
      <c r="F10" s="351">
        <v>1262757.078371</v>
      </c>
      <c r="G10" s="351">
        <v>629731.443371</v>
      </c>
      <c r="H10" s="351">
        <v>633025.6350000001</v>
      </c>
      <c r="I10" s="352">
        <v>1.130103293565674</v>
      </c>
      <c r="J10" s="352">
        <v>0.9452049318276652</v>
      </c>
      <c r="K10" s="352">
        <v>1.403156497703616</v>
      </c>
    </row>
    <row r="11" spans="1:13" ht="27.75" customHeight="1">
      <c r="A11" s="347">
        <v>1</v>
      </c>
      <c r="B11" s="350" t="s">
        <v>40</v>
      </c>
      <c r="C11" s="334">
        <v>991810</v>
      </c>
      <c r="D11" s="334">
        <v>540666</v>
      </c>
      <c r="E11" s="334">
        <v>451144</v>
      </c>
      <c r="F11" s="334">
        <v>1133105.790424</v>
      </c>
      <c r="G11" s="334">
        <v>533979.924371</v>
      </c>
      <c r="H11" s="334">
        <v>599125.8660530001</v>
      </c>
      <c r="I11" s="335">
        <v>1.1424625587804116</v>
      </c>
      <c r="J11" s="335">
        <v>0.9876336303207526</v>
      </c>
      <c r="K11" s="335">
        <v>1.3280147049567324</v>
      </c>
      <c r="M11" s="349"/>
    </row>
    <row r="12" spans="1:13" ht="27.75" customHeight="1">
      <c r="A12" s="347" t="s">
        <v>8</v>
      </c>
      <c r="B12" s="348" t="s">
        <v>31</v>
      </c>
      <c r="C12" s="334">
        <v>101594</v>
      </c>
      <c r="D12" s="334">
        <v>101594</v>
      </c>
      <c r="E12" s="334"/>
      <c r="F12" s="334">
        <v>250388.845604</v>
      </c>
      <c r="G12" s="334">
        <v>160292.868604</v>
      </c>
      <c r="H12" s="334">
        <v>90095.97700000001</v>
      </c>
      <c r="I12" s="335">
        <v>2.4646026891745576</v>
      </c>
      <c r="J12" s="335">
        <v>1.577778890525031</v>
      </c>
      <c r="K12" s="335"/>
      <c r="M12" s="349"/>
    </row>
    <row r="13" spans="1:13" ht="27.75" customHeight="1">
      <c r="A13" s="347" t="s">
        <v>8</v>
      </c>
      <c r="B13" s="348" t="s">
        <v>36</v>
      </c>
      <c r="C13" s="334">
        <v>9811</v>
      </c>
      <c r="D13" s="334">
        <v>9811</v>
      </c>
      <c r="E13" s="334"/>
      <c r="F13" s="334">
        <v>10776.336</v>
      </c>
      <c r="G13" s="334">
        <v>10776.336</v>
      </c>
      <c r="H13" s="359"/>
      <c r="I13" s="335">
        <v>1.0983932320864336</v>
      </c>
      <c r="J13" s="335">
        <v>1.0983932320864336</v>
      </c>
      <c r="K13" s="335"/>
      <c r="M13" s="349"/>
    </row>
    <row r="14" spans="1:13" ht="27.75" customHeight="1">
      <c r="A14" s="347"/>
      <c r="B14" s="348" t="s">
        <v>32</v>
      </c>
      <c r="C14" s="334"/>
      <c r="D14" s="334"/>
      <c r="E14" s="334"/>
      <c r="F14" s="334"/>
      <c r="G14" s="334"/>
      <c r="H14" s="359"/>
      <c r="I14" s="335"/>
      <c r="J14" s="335"/>
      <c r="K14" s="335"/>
      <c r="M14" s="349"/>
    </row>
    <row r="15" spans="1:13" ht="27.75" customHeight="1">
      <c r="A15" s="347" t="s">
        <v>8</v>
      </c>
      <c r="B15" s="348" t="s">
        <v>33</v>
      </c>
      <c r="C15" s="334">
        <v>188000</v>
      </c>
      <c r="D15" s="334">
        <v>188000</v>
      </c>
      <c r="E15" s="334"/>
      <c r="F15" s="334">
        <v>505685.385076</v>
      </c>
      <c r="G15" s="334">
        <v>140148.7495</v>
      </c>
      <c r="H15" s="334">
        <v>365536.63557600003</v>
      </c>
      <c r="I15" s="335">
        <v>2.68981587806383</v>
      </c>
      <c r="J15" s="335">
        <v>0.7454720718085107</v>
      </c>
      <c r="K15" s="335"/>
      <c r="M15" s="349"/>
    </row>
    <row r="16" spans="1:13" ht="27.75" customHeight="1">
      <c r="A16" s="347" t="s">
        <v>8</v>
      </c>
      <c r="B16" s="348" t="s">
        <v>34</v>
      </c>
      <c r="C16" s="334">
        <v>45000</v>
      </c>
      <c r="D16" s="334">
        <v>45000</v>
      </c>
      <c r="E16" s="334"/>
      <c r="F16" s="334">
        <v>40830.671968</v>
      </c>
      <c r="G16" s="334">
        <v>40830.671968</v>
      </c>
      <c r="H16" s="334"/>
      <c r="I16" s="335">
        <v>0.9073482659555556</v>
      </c>
      <c r="J16" s="335">
        <v>0.9073482659555556</v>
      </c>
      <c r="K16" s="335"/>
      <c r="M16" s="349"/>
    </row>
    <row r="17" spans="1:13" ht="47.25">
      <c r="A17" s="347">
        <v>2</v>
      </c>
      <c r="B17" s="350" t="s">
        <v>1524</v>
      </c>
      <c r="C17" s="334"/>
      <c r="D17" s="334"/>
      <c r="E17" s="334"/>
      <c r="F17" s="334"/>
      <c r="G17" s="334"/>
      <c r="H17" s="334"/>
      <c r="I17" s="335"/>
      <c r="J17" s="335"/>
      <c r="K17" s="335"/>
      <c r="M17" s="349"/>
    </row>
    <row r="18" spans="1:13" ht="36" customHeight="1">
      <c r="A18" s="347">
        <v>3</v>
      </c>
      <c r="B18" s="350" t="s">
        <v>1523</v>
      </c>
      <c r="C18" s="334">
        <v>6900</v>
      </c>
      <c r="D18" s="334">
        <v>6900</v>
      </c>
      <c r="E18" s="334"/>
      <c r="F18" s="334"/>
      <c r="G18" s="334"/>
      <c r="H18" s="334"/>
      <c r="I18" s="335"/>
      <c r="J18" s="335"/>
      <c r="K18" s="335"/>
      <c r="M18" s="349"/>
    </row>
    <row r="19" spans="1:13" ht="53.25" customHeight="1">
      <c r="A19" s="347">
        <v>4</v>
      </c>
      <c r="B19" s="350" t="s">
        <v>1531</v>
      </c>
      <c r="C19" s="334">
        <v>30000</v>
      </c>
      <c r="D19" s="334">
        <v>30000</v>
      </c>
      <c r="E19" s="334"/>
      <c r="F19" s="334">
        <v>30486.768947</v>
      </c>
      <c r="G19" s="334"/>
      <c r="H19" s="334">
        <v>30486.768947</v>
      </c>
      <c r="I19" s="335">
        <v>1.0162256315666667</v>
      </c>
      <c r="J19" s="335">
        <v>0</v>
      </c>
      <c r="K19" s="335"/>
      <c r="M19" s="349"/>
    </row>
    <row r="20" spans="1:13" ht="31.5">
      <c r="A20" s="347">
        <v>5</v>
      </c>
      <c r="B20" s="350" t="s">
        <v>137</v>
      </c>
      <c r="C20" s="334">
        <v>6500</v>
      </c>
      <c r="D20" s="334">
        <v>6500</v>
      </c>
      <c r="E20" s="334"/>
      <c r="F20" s="334">
        <v>8500</v>
      </c>
      <c r="G20" s="334">
        <v>8500</v>
      </c>
      <c r="H20" s="334"/>
      <c r="I20" s="335">
        <v>1.3076923076923077</v>
      </c>
      <c r="J20" s="335">
        <v>1.3076923076923077</v>
      </c>
      <c r="K20" s="335"/>
      <c r="M20" s="349"/>
    </row>
    <row r="21" spans="1:13" ht="36" customHeight="1">
      <c r="A21" s="347">
        <v>6</v>
      </c>
      <c r="B21" s="350" t="s">
        <v>1521</v>
      </c>
      <c r="C21" s="334">
        <v>4000</v>
      </c>
      <c r="D21" s="334">
        <v>4000</v>
      </c>
      <c r="E21" s="334"/>
      <c r="F21" s="334">
        <v>11043</v>
      </c>
      <c r="G21" s="334">
        <v>11043</v>
      </c>
      <c r="H21" s="334"/>
      <c r="I21" s="335"/>
      <c r="J21" s="335"/>
      <c r="K21" s="335"/>
      <c r="M21" s="349"/>
    </row>
    <row r="22" spans="1:13" ht="48" customHeight="1">
      <c r="A22" s="347">
        <v>7</v>
      </c>
      <c r="B22" s="350" t="s">
        <v>1522</v>
      </c>
      <c r="C22" s="334">
        <v>4000</v>
      </c>
      <c r="D22" s="334">
        <v>4000</v>
      </c>
      <c r="E22" s="334"/>
      <c r="F22" s="334">
        <v>3200</v>
      </c>
      <c r="G22" s="334">
        <v>3200</v>
      </c>
      <c r="H22" s="334"/>
      <c r="I22" s="335"/>
      <c r="J22" s="335"/>
      <c r="K22" s="335"/>
      <c r="M22" s="349"/>
    </row>
    <row r="23" spans="1:13" ht="44.25" customHeight="1">
      <c r="A23" s="347">
        <v>8</v>
      </c>
      <c r="B23" s="350" t="s">
        <v>1525</v>
      </c>
      <c r="C23" s="334">
        <v>48972</v>
      </c>
      <c r="D23" s="334">
        <v>48972</v>
      </c>
      <c r="E23" s="334"/>
      <c r="F23" s="334">
        <v>76421.519</v>
      </c>
      <c r="G23" s="334">
        <v>73008.519</v>
      </c>
      <c r="H23" s="334">
        <v>3413</v>
      </c>
      <c r="I23" s="335"/>
      <c r="J23" s="335"/>
      <c r="K23" s="335"/>
      <c r="M23" s="349"/>
    </row>
    <row r="24" spans="1:13" ht="42.75" customHeight="1">
      <c r="A24" s="347">
        <v>9</v>
      </c>
      <c r="B24" s="350" t="s">
        <v>1526</v>
      </c>
      <c r="C24" s="334">
        <v>25200</v>
      </c>
      <c r="D24" s="334">
        <v>25200</v>
      </c>
      <c r="E24" s="334"/>
      <c r="F24" s="334"/>
      <c r="G24" s="334"/>
      <c r="H24" s="334"/>
      <c r="I24" s="335"/>
      <c r="J24" s="335"/>
      <c r="K24" s="335"/>
      <c r="M24" s="349"/>
    </row>
    <row r="25" spans="1:11" s="349" customFormat="1" ht="31.5" customHeight="1">
      <c r="A25" s="504" t="s">
        <v>9</v>
      </c>
      <c r="B25" s="344" t="s">
        <v>16</v>
      </c>
      <c r="C25" s="351">
        <v>4640978</v>
      </c>
      <c r="D25" s="351">
        <v>1809837</v>
      </c>
      <c r="E25" s="351">
        <v>2831141</v>
      </c>
      <c r="F25" s="351">
        <v>4755463.439572119</v>
      </c>
      <c r="G25" s="351">
        <v>1630890.1845721193</v>
      </c>
      <c r="H25" s="345">
        <v>3124573.255</v>
      </c>
      <c r="I25" s="352">
        <v>1.0246683866142263</v>
      </c>
      <c r="J25" s="352">
        <v>0.9011254519451858</v>
      </c>
      <c r="K25" s="352">
        <v>1.103644521767019</v>
      </c>
    </row>
    <row r="26" spans="1:13" ht="22.5" customHeight="1">
      <c r="A26" s="347"/>
      <c r="B26" s="348" t="s">
        <v>35</v>
      </c>
      <c r="C26" s="334"/>
      <c r="D26" s="334"/>
      <c r="E26" s="334"/>
      <c r="F26" s="334"/>
      <c r="G26" s="334"/>
      <c r="H26" s="333"/>
      <c r="I26" s="335"/>
      <c r="J26" s="335"/>
      <c r="K26" s="335"/>
      <c r="M26" s="349"/>
    </row>
    <row r="27" spans="1:13" ht="30" customHeight="1">
      <c r="A27" s="347">
        <v>1</v>
      </c>
      <c r="B27" s="348" t="s">
        <v>31</v>
      </c>
      <c r="C27" s="334">
        <v>2129566</v>
      </c>
      <c r="D27" s="334">
        <v>503494</v>
      </c>
      <c r="E27" s="334">
        <v>1626072</v>
      </c>
      <c r="F27" s="334">
        <v>2059619.4262970001</v>
      </c>
      <c r="G27" s="334">
        <v>398261.34664100007</v>
      </c>
      <c r="H27" s="333">
        <v>1661358.079656</v>
      </c>
      <c r="I27" s="335">
        <v>0.9671545405481681</v>
      </c>
      <c r="J27" s="335">
        <v>0.7909952186937681</v>
      </c>
      <c r="K27" s="335">
        <v>1.0217001951057518</v>
      </c>
      <c r="M27" s="349"/>
    </row>
    <row r="28" spans="1:13" ht="30" customHeight="1">
      <c r="A28" s="347">
        <v>2</v>
      </c>
      <c r="B28" s="348" t="s">
        <v>36</v>
      </c>
      <c r="C28" s="334">
        <v>17846</v>
      </c>
      <c r="D28" s="334">
        <v>17846</v>
      </c>
      <c r="E28" s="334"/>
      <c r="F28" s="334">
        <v>15924.111667000001</v>
      </c>
      <c r="G28" s="334">
        <v>15924.111667000001</v>
      </c>
      <c r="H28" s="359"/>
      <c r="I28" s="335">
        <v>0.8923070529530428</v>
      </c>
      <c r="J28" s="335">
        <v>0.8923070529530428</v>
      </c>
      <c r="K28" s="335"/>
      <c r="M28" s="349"/>
    </row>
    <row r="29" spans="1:13" ht="30" customHeight="1">
      <c r="A29" s="347"/>
      <c r="B29" s="348" t="s">
        <v>136</v>
      </c>
      <c r="C29" s="334"/>
      <c r="D29" s="334"/>
      <c r="E29" s="334"/>
      <c r="F29" s="362">
        <v>2638.651185</v>
      </c>
      <c r="G29" s="362">
        <v>1000</v>
      </c>
      <c r="H29" s="362">
        <v>1638.6511850000002</v>
      </c>
      <c r="I29" s="335"/>
      <c r="J29" s="335"/>
      <c r="K29" s="335"/>
      <c r="M29" s="349"/>
    </row>
    <row r="30" spans="1:11" s="349" customFormat="1" ht="34.5" customHeight="1">
      <c r="A30" s="504" t="s">
        <v>10</v>
      </c>
      <c r="B30" s="344" t="s">
        <v>17</v>
      </c>
      <c r="C30" s="351">
        <v>1600</v>
      </c>
      <c r="D30" s="351">
        <v>1600</v>
      </c>
      <c r="E30" s="351"/>
      <c r="F30" s="351">
        <v>11.637</v>
      </c>
      <c r="G30" s="351">
        <v>11.637</v>
      </c>
      <c r="H30" s="360"/>
      <c r="I30" s="352"/>
      <c r="J30" s="352"/>
      <c r="K30" s="352"/>
    </row>
    <row r="31" spans="1:11" s="349" customFormat="1" ht="33" customHeight="1">
      <c r="A31" s="504" t="s">
        <v>11</v>
      </c>
      <c r="B31" s="344" t="s">
        <v>18</v>
      </c>
      <c r="C31" s="351">
        <v>1000</v>
      </c>
      <c r="D31" s="351">
        <v>1000</v>
      </c>
      <c r="E31" s="351"/>
      <c r="F31" s="351">
        <v>1000</v>
      </c>
      <c r="G31" s="351">
        <v>1000</v>
      </c>
      <c r="H31" s="360"/>
      <c r="I31" s="352">
        <v>1</v>
      </c>
      <c r="J31" s="352">
        <v>1</v>
      </c>
      <c r="K31" s="352"/>
    </row>
    <row r="32" spans="1:11" s="349" customFormat="1" ht="33" customHeight="1">
      <c r="A32" s="504" t="s">
        <v>12</v>
      </c>
      <c r="B32" s="344" t="s">
        <v>19</v>
      </c>
      <c r="C32" s="351">
        <v>158942</v>
      </c>
      <c r="D32" s="351">
        <v>91949</v>
      </c>
      <c r="E32" s="351">
        <v>66993</v>
      </c>
      <c r="F32" s="351"/>
      <c r="G32" s="351"/>
      <c r="H32" s="360"/>
      <c r="I32" s="352"/>
      <c r="J32" s="352"/>
      <c r="K32" s="352"/>
    </row>
    <row r="33" spans="1:11" s="349" customFormat="1" ht="33" customHeight="1">
      <c r="A33" s="504" t="s">
        <v>37</v>
      </c>
      <c r="B33" s="344" t="s">
        <v>20</v>
      </c>
      <c r="C33" s="351">
        <v>76996</v>
      </c>
      <c r="D33" s="351">
        <v>76996</v>
      </c>
      <c r="E33" s="351"/>
      <c r="F33" s="351"/>
      <c r="G33" s="351"/>
      <c r="H33" s="360"/>
      <c r="I33" s="352"/>
      <c r="J33" s="352"/>
      <c r="K33" s="352"/>
    </row>
    <row r="34" spans="1:11" s="349" customFormat="1" ht="27.75" customHeight="1">
      <c r="A34" s="504" t="s">
        <v>6</v>
      </c>
      <c r="B34" s="344" t="s">
        <v>38</v>
      </c>
      <c r="C34" s="351">
        <v>1835793</v>
      </c>
      <c r="D34" s="351">
        <v>1835793</v>
      </c>
      <c r="E34" s="351"/>
      <c r="F34" s="351">
        <v>2212576.170058</v>
      </c>
      <c r="G34" s="351">
        <v>1776161.170058</v>
      </c>
      <c r="H34" s="351">
        <v>436415</v>
      </c>
      <c r="I34" s="352">
        <v>1.2052427316467598</v>
      </c>
      <c r="J34" s="352">
        <v>0.9675171275072951</v>
      </c>
      <c r="K34" s="352"/>
    </row>
    <row r="35" spans="1:11" s="349" customFormat="1" ht="28.5" customHeight="1">
      <c r="A35" s="504" t="s">
        <v>7</v>
      </c>
      <c r="B35" s="344" t="s">
        <v>21</v>
      </c>
      <c r="C35" s="351">
        <v>345101</v>
      </c>
      <c r="D35" s="351">
        <v>345101</v>
      </c>
      <c r="E35" s="351"/>
      <c r="F35" s="351">
        <v>340443.173</v>
      </c>
      <c r="G35" s="351">
        <v>30289.173000000003</v>
      </c>
      <c r="H35" s="351">
        <v>310154</v>
      </c>
      <c r="I35" s="352">
        <v>0.9865030034685498</v>
      </c>
      <c r="J35" s="352">
        <v>0.08776900965224674</v>
      </c>
      <c r="K35" s="352"/>
    </row>
    <row r="36" spans="1:13" ht="36" customHeight="1">
      <c r="A36" s="347"/>
      <c r="B36" s="350" t="s">
        <v>133</v>
      </c>
      <c r="C36" s="351">
        <v>148901</v>
      </c>
      <c r="D36" s="334">
        <v>148901</v>
      </c>
      <c r="E36" s="334"/>
      <c r="F36" s="334">
        <v>152706.672287</v>
      </c>
      <c r="G36" s="334">
        <v>11410.627</v>
      </c>
      <c r="H36" s="334">
        <v>141296.045287</v>
      </c>
      <c r="I36" s="335">
        <v>1.0255584065049932</v>
      </c>
      <c r="J36" s="335">
        <v>0.07663230602883796</v>
      </c>
      <c r="K36" s="335"/>
      <c r="M36" s="349"/>
    </row>
    <row r="37" spans="1:13" ht="25.5" customHeight="1">
      <c r="A37" s="347"/>
      <c r="B37" s="350" t="s">
        <v>134</v>
      </c>
      <c r="C37" s="351">
        <v>114442</v>
      </c>
      <c r="D37" s="334">
        <v>114442</v>
      </c>
      <c r="E37" s="334"/>
      <c r="F37" s="334">
        <v>33271.326</v>
      </c>
      <c r="G37" s="334">
        <v>3191.068</v>
      </c>
      <c r="H37" s="334">
        <v>30080.258</v>
      </c>
      <c r="I37" s="335">
        <v>0.29072653396480314</v>
      </c>
      <c r="J37" s="335">
        <v>0.02788371402107618</v>
      </c>
      <c r="K37" s="335"/>
      <c r="M37" s="349"/>
    </row>
    <row r="38" spans="1:13" ht="25.5" customHeight="1">
      <c r="A38" s="347"/>
      <c r="B38" s="350" t="s">
        <v>1529</v>
      </c>
      <c r="C38" s="351">
        <v>34459</v>
      </c>
      <c r="D38" s="334">
        <v>34459</v>
      </c>
      <c r="E38" s="334"/>
      <c r="F38" s="334">
        <v>119435.34628699998</v>
      </c>
      <c r="G38" s="334">
        <v>8219.559</v>
      </c>
      <c r="H38" s="334">
        <v>111215.78728699998</v>
      </c>
      <c r="I38" s="335">
        <v>3.4660131253663766</v>
      </c>
      <c r="J38" s="335">
        <v>0.23853155924431932</v>
      </c>
      <c r="K38" s="335"/>
      <c r="M38" s="349"/>
    </row>
    <row r="39" spans="1:13" ht="25.5" customHeight="1">
      <c r="A39" s="347"/>
      <c r="B39" s="350" t="s">
        <v>1057</v>
      </c>
      <c r="C39" s="351">
        <v>196200</v>
      </c>
      <c r="D39" s="334">
        <v>196200</v>
      </c>
      <c r="E39" s="334"/>
      <c r="F39" s="334">
        <v>187736.500713</v>
      </c>
      <c r="G39" s="334">
        <v>18878.546000000002</v>
      </c>
      <c r="H39" s="334">
        <v>168857.95471299998</v>
      </c>
      <c r="I39" s="335">
        <v>0.9568628986391436</v>
      </c>
      <c r="J39" s="335">
        <v>0.0962209276248726</v>
      </c>
      <c r="K39" s="335"/>
      <c r="M39" s="349"/>
    </row>
    <row r="40" spans="1:13" ht="25.5" customHeight="1">
      <c r="A40" s="347"/>
      <c r="B40" s="350" t="s">
        <v>134</v>
      </c>
      <c r="C40" s="351">
        <v>49400</v>
      </c>
      <c r="D40" s="334">
        <v>49400</v>
      </c>
      <c r="E40" s="334"/>
      <c r="F40" s="334">
        <v>49080.288</v>
      </c>
      <c r="G40" s="334">
        <v>18878.546000000002</v>
      </c>
      <c r="H40" s="334">
        <v>30201.742</v>
      </c>
      <c r="I40" s="335">
        <v>0.9935280971659919</v>
      </c>
      <c r="J40" s="335">
        <v>0.3821568016194332</v>
      </c>
      <c r="K40" s="335"/>
      <c r="M40" s="349"/>
    </row>
    <row r="41" spans="1:13" ht="25.5" customHeight="1">
      <c r="A41" s="347"/>
      <c r="B41" s="350" t="s">
        <v>1112</v>
      </c>
      <c r="C41" s="351">
        <v>146800</v>
      </c>
      <c r="D41" s="334">
        <v>146800</v>
      </c>
      <c r="E41" s="334"/>
      <c r="F41" s="334">
        <v>138656.212713</v>
      </c>
      <c r="G41" s="334">
        <v>0</v>
      </c>
      <c r="H41" s="334">
        <v>138656.212713</v>
      </c>
      <c r="I41" s="335">
        <v>0.9445246097615803</v>
      </c>
      <c r="J41" s="335">
        <v>0</v>
      </c>
      <c r="K41" s="335"/>
      <c r="M41" s="349"/>
    </row>
    <row r="42" spans="1:11" s="349" customFormat="1" ht="41.25" customHeight="1">
      <c r="A42" s="504" t="s">
        <v>9</v>
      </c>
      <c r="B42" s="344" t="s">
        <v>22</v>
      </c>
      <c r="C42" s="351">
        <v>1490692</v>
      </c>
      <c r="D42" s="351">
        <v>1490692</v>
      </c>
      <c r="E42" s="351"/>
      <c r="F42" s="351">
        <v>1872132.997058</v>
      </c>
      <c r="G42" s="351">
        <v>1745871.997058</v>
      </c>
      <c r="H42" s="351">
        <v>126261</v>
      </c>
      <c r="I42" s="352">
        <v>1.255881830088308</v>
      </c>
      <c r="J42" s="352">
        <v>1.1711822409042243</v>
      </c>
      <c r="K42" s="352"/>
    </row>
    <row r="43" spans="1:13" s="354" customFormat="1" ht="25.5" customHeight="1">
      <c r="A43" s="361"/>
      <c r="B43" s="348" t="s">
        <v>84</v>
      </c>
      <c r="C43" s="351">
        <v>971285</v>
      </c>
      <c r="D43" s="362">
        <v>971285</v>
      </c>
      <c r="E43" s="362"/>
      <c r="F43" s="362">
        <v>1556845.05672</v>
      </c>
      <c r="G43" s="362">
        <v>1430584.05672</v>
      </c>
      <c r="H43" s="362">
        <v>126261</v>
      </c>
      <c r="I43" s="335">
        <v>1.6028715121926107</v>
      </c>
      <c r="J43" s="335">
        <v>1.4728777410543765</v>
      </c>
      <c r="K43" s="335"/>
      <c r="M43" s="349"/>
    </row>
    <row r="44" spans="1:13" s="354" customFormat="1" ht="25.5" customHeight="1">
      <c r="A44" s="361"/>
      <c r="B44" s="348" t="s">
        <v>169</v>
      </c>
      <c r="C44" s="351">
        <v>519407</v>
      </c>
      <c r="D44" s="362">
        <v>519407</v>
      </c>
      <c r="E44" s="362"/>
      <c r="F44" s="362">
        <v>315287.94033799996</v>
      </c>
      <c r="G44" s="362">
        <v>315287.94033799996</v>
      </c>
      <c r="H44" s="359">
        <v>0</v>
      </c>
      <c r="I44" s="335">
        <v>0.6070151929758358</v>
      </c>
      <c r="J44" s="335">
        <v>0.6070151929758358</v>
      </c>
      <c r="K44" s="335"/>
      <c r="M44" s="349"/>
    </row>
    <row r="45" spans="1:11" s="349" customFormat="1" ht="30.75" customHeight="1">
      <c r="A45" s="504">
        <v>1</v>
      </c>
      <c r="B45" s="344" t="s">
        <v>1116</v>
      </c>
      <c r="C45" s="351">
        <v>488280</v>
      </c>
      <c r="D45" s="351">
        <v>488280</v>
      </c>
      <c r="E45" s="351"/>
      <c r="F45" s="351">
        <v>642056.227787</v>
      </c>
      <c r="G45" s="351">
        <v>640716.227787</v>
      </c>
      <c r="H45" s="351">
        <v>1340</v>
      </c>
      <c r="I45" s="352">
        <v>1.314934520740149</v>
      </c>
      <c r="J45" s="352">
        <v>1.3121901937146718</v>
      </c>
      <c r="K45" s="352"/>
    </row>
    <row r="46" spans="1:13" ht="36.75" customHeight="1">
      <c r="A46" s="504"/>
      <c r="B46" s="505" t="s">
        <v>139</v>
      </c>
      <c r="C46" s="351"/>
      <c r="D46" s="334"/>
      <c r="E46" s="334"/>
      <c r="F46" s="334">
        <v>124140.42885</v>
      </c>
      <c r="G46" s="334">
        <v>124140.42885</v>
      </c>
      <c r="H46" s="359"/>
      <c r="I46" s="335"/>
      <c r="J46" s="335"/>
      <c r="K46" s="335"/>
      <c r="M46" s="349"/>
    </row>
    <row r="47" spans="1:13" ht="36.75" customHeight="1">
      <c r="A47" s="504"/>
      <c r="B47" s="505" t="s">
        <v>140</v>
      </c>
      <c r="C47" s="351"/>
      <c r="D47" s="334"/>
      <c r="E47" s="334"/>
      <c r="F47" s="334">
        <v>8490.92</v>
      </c>
      <c r="G47" s="334">
        <v>8490.92</v>
      </c>
      <c r="H47" s="359"/>
      <c r="I47" s="335"/>
      <c r="J47" s="335"/>
      <c r="K47" s="335"/>
      <c r="M47" s="349"/>
    </row>
    <row r="48" spans="1:13" ht="47.25">
      <c r="A48" s="504"/>
      <c r="B48" s="505" t="s">
        <v>141</v>
      </c>
      <c r="C48" s="351"/>
      <c r="D48" s="334"/>
      <c r="E48" s="334"/>
      <c r="F48" s="334">
        <v>53333.89961</v>
      </c>
      <c r="G48" s="334">
        <v>53333.89961</v>
      </c>
      <c r="H48" s="359"/>
      <c r="I48" s="335"/>
      <c r="J48" s="335"/>
      <c r="K48" s="335"/>
      <c r="M48" s="349"/>
    </row>
    <row r="49" spans="1:13" ht="33" customHeight="1">
      <c r="A49" s="504"/>
      <c r="B49" s="505" t="s">
        <v>142</v>
      </c>
      <c r="C49" s="351"/>
      <c r="D49" s="334"/>
      <c r="E49" s="334"/>
      <c r="F49" s="334">
        <v>8043.5</v>
      </c>
      <c r="G49" s="334">
        <v>8043.5</v>
      </c>
      <c r="H49" s="359"/>
      <c r="I49" s="335"/>
      <c r="J49" s="335"/>
      <c r="K49" s="335"/>
      <c r="M49" s="349"/>
    </row>
    <row r="50" spans="1:13" ht="63">
      <c r="A50" s="504"/>
      <c r="B50" s="505" t="s">
        <v>143</v>
      </c>
      <c r="C50" s="351"/>
      <c r="D50" s="334"/>
      <c r="E50" s="334"/>
      <c r="F50" s="334">
        <v>160881.512</v>
      </c>
      <c r="G50" s="334">
        <v>160881.512</v>
      </c>
      <c r="H50" s="359"/>
      <c r="I50" s="335"/>
      <c r="J50" s="335"/>
      <c r="K50" s="335"/>
      <c r="M50" s="349"/>
    </row>
    <row r="51" spans="1:13" ht="31.5">
      <c r="A51" s="504"/>
      <c r="B51" s="505" t="s">
        <v>145</v>
      </c>
      <c r="C51" s="351"/>
      <c r="D51" s="334"/>
      <c r="E51" s="334"/>
      <c r="F51" s="334">
        <v>33802.48</v>
      </c>
      <c r="G51" s="334">
        <v>33802.48</v>
      </c>
      <c r="H51" s="359"/>
      <c r="I51" s="335"/>
      <c r="J51" s="335"/>
      <c r="K51" s="335"/>
      <c r="M51" s="349"/>
    </row>
    <row r="52" spans="1:13" ht="37.5" customHeight="1">
      <c r="A52" s="504"/>
      <c r="B52" s="505" t="s">
        <v>146</v>
      </c>
      <c r="C52" s="351"/>
      <c r="D52" s="334"/>
      <c r="E52" s="334"/>
      <c r="F52" s="334">
        <v>108620.396898</v>
      </c>
      <c r="G52" s="334">
        <v>108620.396898</v>
      </c>
      <c r="H52" s="359"/>
      <c r="I52" s="335"/>
      <c r="J52" s="335"/>
      <c r="K52" s="335"/>
      <c r="M52" s="349"/>
    </row>
    <row r="53" spans="1:13" ht="35.25" customHeight="1">
      <c r="A53" s="504"/>
      <c r="B53" s="505" t="s">
        <v>147</v>
      </c>
      <c r="C53" s="351"/>
      <c r="D53" s="334"/>
      <c r="E53" s="334"/>
      <c r="F53" s="334">
        <v>10728.894024</v>
      </c>
      <c r="G53" s="334">
        <v>10728.894024</v>
      </c>
      <c r="H53" s="359"/>
      <c r="I53" s="335"/>
      <c r="J53" s="335"/>
      <c r="K53" s="335"/>
      <c r="M53" s="349"/>
    </row>
    <row r="54" spans="1:13" ht="30.75" customHeight="1">
      <c r="A54" s="504"/>
      <c r="B54" s="505" t="s">
        <v>148</v>
      </c>
      <c r="C54" s="351"/>
      <c r="D54" s="334"/>
      <c r="E54" s="334"/>
      <c r="F54" s="334">
        <v>101448.997</v>
      </c>
      <c r="G54" s="334">
        <v>101448.997</v>
      </c>
      <c r="H54" s="363"/>
      <c r="I54" s="335"/>
      <c r="J54" s="335"/>
      <c r="K54" s="335"/>
      <c r="M54" s="349"/>
    </row>
    <row r="55" spans="1:13" ht="28.5" customHeight="1">
      <c r="A55" s="504"/>
      <c r="B55" s="505" t="s">
        <v>150</v>
      </c>
      <c r="C55" s="351"/>
      <c r="D55" s="334"/>
      <c r="E55" s="334"/>
      <c r="F55" s="334">
        <v>10231.115</v>
      </c>
      <c r="G55" s="334">
        <v>10231.115</v>
      </c>
      <c r="H55" s="359"/>
      <c r="I55" s="335"/>
      <c r="J55" s="335"/>
      <c r="K55" s="335"/>
      <c r="M55" s="349"/>
    </row>
    <row r="56" spans="1:13" ht="31.5">
      <c r="A56" s="504"/>
      <c r="B56" s="505" t="s">
        <v>154</v>
      </c>
      <c r="C56" s="351"/>
      <c r="D56" s="334"/>
      <c r="E56" s="334"/>
      <c r="F56" s="334">
        <v>3105.927</v>
      </c>
      <c r="G56" s="334">
        <v>3105.927</v>
      </c>
      <c r="H56" s="359"/>
      <c r="I56" s="335"/>
      <c r="J56" s="335"/>
      <c r="K56" s="335"/>
      <c r="M56" s="349"/>
    </row>
    <row r="57" spans="1:13" ht="27.75" customHeight="1">
      <c r="A57" s="504"/>
      <c r="B57" s="505" t="s">
        <v>1532</v>
      </c>
      <c r="C57" s="351"/>
      <c r="D57" s="334"/>
      <c r="E57" s="334"/>
      <c r="F57" s="334">
        <v>1340</v>
      </c>
      <c r="G57" s="334">
        <v>0</v>
      </c>
      <c r="H57" s="334">
        <v>1340</v>
      </c>
      <c r="I57" s="335"/>
      <c r="J57" s="335"/>
      <c r="K57" s="335"/>
      <c r="M57" s="349"/>
    </row>
    <row r="58" spans="1:13" ht="26.25" customHeight="1">
      <c r="A58" s="504"/>
      <c r="B58" s="505" t="s">
        <v>156</v>
      </c>
      <c r="C58" s="351"/>
      <c r="D58" s="334"/>
      <c r="E58" s="334"/>
      <c r="F58" s="334">
        <v>17888.157404999998</v>
      </c>
      <c r="G58" s="334">
        <v>17888.157404999998</v>
      </c>
      <c r="H58" s="359"/>
      <c r="I58" s="335"/>
      <c r="J58" s="335"/>
      <c r="K58" s="335"/>
      <c r="M58" s="349"/>
    </row>
    <row r="59" spans="1:11" s="349" customFormat="1" ht="33" customHeight="1">
      <c r="A59" s="504">
        <v>2</v>
      </c>
      <c r="B59" s="506" t="s">
        <v>1115</v>
      </c>
      <c r="C59" s="351">
        <v>413005</v>
      </c>
      <c r="D59" s="351">
        <v>413005</v>
      </c>
      <c r="E59" s="351"/>
      <c r="F59" s="351">
        <v>430614.828933</v>
      </c>
      <c r="G59" s="351">
        <v>305693.828933</v>
      </c>
      <c r="H59" s="351">
        <v>124921</v>
      </c>
      <c r="I59" s="352">
        <v>1.042638294773671</v>
      </c>
      <c r="J59" s="352">
        <v>0.7401698016561542</v>
      </c>
      <c r="K59" s="352"/>
    </row>
    <row r="60" spans="1:11" s="349" customFormat="1" ht="33.75" customHeight="1">
      <c r="A60" s="504"/>
      <c r="B60" s="507" t="s">
        <v>35</v>
      </c>
      <c r="C60" s="351"/>
      <c r="D60" s="351"/>
      <c r="E60" s="351"/>
      <c r="F60" s="351"/>
      <c r="G60" s="351"/>
      <c r="H60" s="351"/>
      <c r="I60" s="352"/>
      <c r="J60" s="352"/>
      <c r="K60" s="352"/>
    </row>
    <row r="61" spans="1:11" s="349" customFormat="1" ht="30" customHeight="1" hidden="1">
      <c r="A61" s="504"/>
      <c r="B61" s="506"/>
      <c r="C61" s="351"/>
      <c r="D61" s="351"/>
      <c r="E61" s="351"/>
      <c r="F61" s="351"/>
      <c r="G61" s="351"/>
      <c r="H61" s="351"/>
      <c r="I61" s="352"/>
      <c r="J61" s="352"/>
      <c r="K61" s="352"/>
    </row>
    <row r="62" spans="1:11" s="349" customFormat="1" ht="33" customHeight="1" hidden="1">
      <c r="A62" s="504"/>
      <c r="B62" s="505" t="s">
        <v>146</v>
      </c>
      <c r="C62" s="351"/>
      <c r="D62" s="351"/>
      <c r="E62" s="351"/>
      <c r="F62" s="351"/>
      <c r="G62" s="334">
        <v>2125</v>
      </c>
      <c r="H62" s="351"/>
      <c r="I62" s="352"/>
      <c r="J62" s="352"/>
      <c r="K62" s="352"/>
    </row>
    <row r="63" spans="1:13" ht="31.5">
      <c r="A63" s="504"/>
      <c r="B63" s="505" t="s">
        <v>1117</v>
      </c>
      <c r="C63" s="351"/>
      <c r="D63" s="334"/>
      <c r="E63" s="334"/>
      <c r="F63" s="334">
        <v>555</v>
      </c>
      <c r="G63" s="334">
        <v>555</v>
      </c>
      <c r="H63" s="334"/>
      <c r="I63" s="335"/>
      <c r="J63" s="352"/>
      <c r="K63" s="335"/>
      <c r="M63" s="349"/>
    </row>
    <row r="64" spans="1:13" s="354" customFormat="1" ht="31.5">
      <c r="A64" s="508"/>
      <c r="B64" s="509" t="s">
        <v>1066</v>
      </c>
      <c r="C64" s="351"/>
      <c r="D64" s="362"/>
      <c r="E64" s="362"/>
      <c r="F64" s="334">
        <v>19014.0676</v>
      </c>
      <c r="G64" s="334">
        <v>19014.0676</v>
      </c>
      <c r="H64" s="510"/>
      <c r="I64" s="335"/>
      <c r="J64" s="352"/>
      <c r="K64" s="335"/>
      <c r="M64" s="349"/>
    </row>
    <row r="65" spans="1:13" s="354" customFormat="1" ht="31.5">
      <c r="A65" s="508"/>
      <c r="B65" s="503" t="s">
        <v>1067</v>
      </c>
      <c r="C65" s="351"/>
      <c r="D65" s="362"/>
      <c r="E65" s="362"/>
      <c r="F65" s="334">
        <v>6640.9687</v>
      </c>
      <c r="G65" s="334">
        <v>6640.9687</v>
      </c>
      <c r="H65" s="510"/>
      <c r="I65" s="335"/>
      <c r="J65" s="352"/>
      <c r="K65" s="335"/>
      <c r="M65" s="349"/>
    </row>
    <row r="66" spans="1:13" s="354" customFormat="1" ht="23.25" customHeight="1">
      <c r="A66" s="508"/>
      <c r="B66" s="503" t="s">
        <v>1068</v>
      </c>
      <c r="C66" s="351"/>
      <c r="D66" s="362"/>
      <c r="E66" s="362"/>
      <c r="F66" s="334">
        <v>6410.738515</v>
      </c>
      <c r="G66" s="334">
        <v>6410.738515</v>
      </c>
      <c r="H66" s="510"/>
      <c r="I66" s="335"/>
      <c r="J66" s="352"/>
      <c r="K66" s="335"/>
      <c r="M66" s="349"/>
    </row>
    <row r="67" spans="1:13" s="354" customFormat="1" ht="26.25" customHeight="1">
      <c r="A67" s="508"/>
      <c r="B67" s="503" t="s">
        <v>1113</v>
      </c>
      <c r="C67" s="351"/>
      <c r="D67" s="362"/>
      <c r="E67" s="362"/>
      <c r="F67" s="334">
        <v>1890</v>
      </c>
      <c r="G67" s="334">
        <v>1890</v>
      </c>
      <c r="H67" s="510"/>
      <c r="I67" s="335"/>
      <c r="J67" s="352"/>
      <c r="K67" s="335"/>
      <c r="M67" s="349"/>
    </row>
    <row r="68" spans="1:13" s="354" customFormat="1" ht="28.5" customHeight="1">
      <c r="A68" s="508"/>
      <c r="B68" s="503" t="s">
        <v>1114</v>
      </c>
      <c r="C68" s="351"/>
      <c r="D68" s="362"/>
      <c r="E68" s="362"/>
      <c r="F68" s="334">
        <v>14100</v>
      </c>
      <c r="G68" s="334">
        <v>14100</v>
      </c>
      <c r="H68" s="510"/>
      <c r="I68" s="335"/>
      <c r="J68" s="352"/>
      <c r="K68" s="335"/>
      <c r="M68" s="349"/>
    </row>
    <row r="69" spans="1:13" s="354" customFormat="1" ht="31.5">
      <c r="A69" s="508"/>
      <c r="B69" s="505" t="s">
        <v>1065</v>
      </c>
      <c r="C69" s="351"/>
      <c r="D69" s="362"/>
      <c r="E69" s="362"/>
      <c r="F69" s="334">
        <v>22576.817571</v>
      </c>
      <c r="G69" s="334">
        <v>22576.817571</v>
      </c>
      <c r="H69" s="510"/>
      <c r="I69" s="335"/>
      <c r="J69" s="352"/>
      <c r="K69" s="335"/>
      <c r="M69" s="349"/>
    </row>
    <row r="70" spans="1:13" s="354" customFormat="1" ht="25.5" customHeight="1">
      <c r="A70" s="508"/>
      <c r="B70" s="357" t="s">
        <v>854</v>
      </c>
      <c r="C70" s="351"/>
      <c r="D70" s="334"/>
      <c r="E70" s="362"/>
      <c r="F70" s="334">
        <v>1100</v>
      </c>
      <c r="G70" s="334">
        <v>1100</v>
      </c>
      <c r="H70" s="510"/>
      <c r="I70" s="335"/>
      <c r="J70" s="352"/>
      <c r="K70" s="335"/>
      <c r="M70" s="349"/>
    </row>
    <row r="71" spans="1:11" s="349" customFormat="1" ht="25.5" customHeight="1">
      <c r="A71" s="504">
        <v>3</v>
      </c>
      <c r="B71" s="177" t="s">
        <v>853</v>
      </c>
      <c r="C71" s="351">
        <v>519407</v>
      </c>
      <c r="D71" s="351">
        <v>519407</v>
      </c>
      <c r="E71" s="351"/>
      <c r="F71" s="351">
        <v>315287.94033799996</v>
      </c>
      <c r="G71" s="351">
        <v>315287.94033799996</v>
      </c>
      <c r="H71" s="360"/>
      <c r="I71" s="352">
        <v>0.6070151929758358</v>
      </c>
      <c r="J71" s="352">
        <v>0.6070151929758358</v>
      </c>
      <c r="K71" s="352"/>
    </row>
    <row r="72" spans="1:13" ht="25.5" customHeight="1">
      <c r="A72" s="504"/>
      <c r="B72" s="357" t="s">
        <v>135</v>
      </c>
      <c r="C72" s="351">
        <v>516807</v>
      </c>
      <c r="D72" s="334">
        <v>516807</v>
      </c>
      <c r="E72" s="334"/>
      <c r="F72" s="334">
        <v>313063.82033799996</v>
      </c>
      <c r="G72" s="334">
        <v>313063.82033799996</v>
      </c>
      <c r="H72" s="359"/>
      <c r="I72" s="335">
        <v>0.6057654411376007</v>
      </c>
      <c r="J72" s="335"/>
      <c r="K72" s="335"/>
      <c r="M72" s="349"/>
    </row>
    <row r="73" spans="1:13" ht="25.5" customHeight="1">
      <c r="A73" s="504"/>
      <c r="B73" s="357" t="s">
        <v>134</v>
      </c>
      <c r="C73" s="351">
        <v>2600</v>
      </c>
      <c r="D73" s="334">
        <v>2600</v>
      </c>
      <c r="E73" s="334"/>
      <c r="F73" s="334">
        <v>2224.12</v>
      </c>
      <c r="G73" s="334">
        <v>2224.12</v>
      </c>
      <c r="H73" s="359"/>
      <c r="I73" s="335">
        <v>0.8554307692307692</v>
      </c>
      <c r="J73" s="335"/>
      <c r="K73" s="335"/>
      <c r="M73" s="349"/>
    </row>
    <row r="74" spans="1:11" s="349" customFormat="1" ht="25.5" customHeight="1">
      <c r="A74" s="504">
        <v>4</v>
      </c>
      <c r="B74" s="344" t="s">
        <v>852</v>
      </c>
      <c r="C74" s="351">
        <v>70000</v>
      </c>
      <c r="D74" s="351">
        <v>70000</v>
      </c>
      <c r="E74" s="351"/>
      <c r="F74" s="351">
        <v>484174</v>
      </c>
      <c r="G74" s="351">
        <v>484174</v>
      </c>
      <c r="H74" s="360"/>
      <c r="I74" s="352"/>
      <c r="J74" s="352"/>
      <c r="K74" s="352"/>
    </row>
    <row r="75" spans="1:13" ht="31.5">
      <c r="A75" s="504"/>
      <c r="B75" s="350" t="s">
        <v>1530</v>
      </c>
      <c r="C75" s="351">
        <v>70000</v>
      </c>
      <c r="D75" s="334">
        <v>70000</v>
      </c>
      <c r="E75" s="334"/>
      <c r="F75" s="334">
        <v>484174</v>
      </c>
      <c r="G75" s="334">
        <v>484174</v>
      </c>
      <c r="H75" s="359"/>
      <c r="I75" s="335"/>
      <c r="J75" s="335"/>
      <c r="K75" s="335"/>
      <c r="M75" s="349"/>
    </row>
    <row r="76" spans="1:11" s="349" customFormat="1" ht="36" customHeight="1">
      <c r="A76" s="504" t="s">
        <v>24</v>
      </c>
      <c r="B76" s="344" t="s">
        <v>39</v>
      </c>
      <c r="C76" s="351"/>
      <c r="D76" s="351"/>
      <c r="E76" s="334"/>
      <c r="F76" s="351">
        <v>2010379.268352</v>
      </c>
      <c r="G76" s="502">
        <v>1397731.1500000001</v>
      </c>
      <c r="H76" s="351">
        <v>612648.1183519999</v>
      </c>
      <c r="I76" s="335"/>
      <c r="J76" s="335"/>
      <c r="K76" s="335"/>
    </row>
    <row r="77" spans="1:11" s="349" customFormat="1" ht="39" customHeight="1">
      <c r="A77" s="504" t="s">
        <v>25</v>
      </c>
      <c r="B77" s="344" t="s">
        <v>138</v>
      </c>
      <c r="C77" s="351">
        <v>74097</v>
      </c>
      <c r="D77" s="351"/>
      <c r="E77" s="351">
        <v>74097</v>
      </c>
      <c r="F77" s="351"/>
      <c r="G77" s="351"/>
      <c r="H77" s="351"/>
      <c r="I77" s="335"/>
      <c r="J77" s="335"/>
      <c r="K77" s="335"/>
    </row>
    <row r="78" spans="1:11" s="349" customFormat="1" ht="31.5" customHeight="1">
      <c r="A78" s="504" t="s">
        <v>26</v>
      </c>
      <c r="B78" s="344" t="s">
        <v>1058</v>
      </c>
      <c r="C78" s="351"/>
      <c r="D78" s="351"/>
      <c r="E78" s="334"/>
      <c r="F78" s="500">
        <v>4052.6699999999996</v>
      </c>
      <c r="G78" s="351">
        <v>39.45</v>
      </c>
      <c r="H78" s="351">
        <v>4013.22</v>
      </c>
      <c r="I78" s="335"/>
      <c r="J78" s="335"/>
      <c r="K78" s="335"/>
    </row>
    <row r="79" spans="1:11" s="349" customFormat="1" ht="31.5" customHeight="1" hidden="1">
      <c r="A79" s="504" t="s">
        <v>851</v>
      </c>
      <c r="B79" s="344" t="s">
        <v>157</v>
      </c>
      <c r="C79" s="351">
        <f>D79+E79</f>
        <v>0</v>
      </c>
      <c r="D79" s="351"/>
      <c r="E79" s="334"/>
      <c r="F79" s="351"/>
      <c r="G79" s="351"/>
      <c r="H79" s="359"/>
      <c r="I79" s="335"/>
      <c r="J79" s="335"/>
      <c r="K79" s="335"/>
    </row>
    <row r="80" spans="1:11" s="349" customFormat="1" ht="31.5" customHeight="1" hidden="1">
      <c r="A80" s="504" t="s">
        <v>26</v>
      </c>
      <c r="B80" s="344" t="s">
        <v>1520</v>
      </c>
      <c r="C80" s="351"/>
      <c r="D80" s="351"/>
      <c r="E80" s="334"/>
      <c r="F80" s="351" t="e">
        <f>G80+H80</f>
        <v>#REF!</v>
      </c>
      <c r="G80" s="351" t="e">
        <f>#REF!</f>
        <v>#REF!</v>
      </c>
      <c r="H80" s="359"/>
      <c r="I80" s="335"/>
      <c r="J80" s="335"/>
      <c r="K80" s="335"/>
    </row>
    <row r="81" spans="1:8" ht="22.5" customHeight="1">
      <c r="A81" s="356"/>
      <c r="G81" s="501"/>
      <c r="H81" s="501"/>
    </row>
  </sheetData>
  <sheetProtection/>
  <mergeCells count="10">
    <mergeCell ref="I5:K5"/>
    <mergeCell ref="I1:K1"/>
    <mergeCell ref="A2:K2"/>
    <mergeCell ref="A5:A6"/>
    <mergeCell ref="B5:B6"/>
    <mergeCell ref="C5:C6"/>
    <mergeCell ref="D5:E5"/>
    <mergeCell ref="F5:F6"/>
    <mergeCell ref="G5:H5"/>
    <mergeCell ref="A3:K3"/>
  </mergeCells>
  <printOptions/>
  <pageMargins left="0.28" right="0.1968503937007874" top="0.32" bottom="0.1968503937007874" header="0.24" footer="0.1968503937007874"/>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30" customWidth="1"/>
    <col min="2" max="2" width="19.28125" style="330" customWidth="1"/>
    <col min="3" max="3" width="9.57421875" style="330" bestFit="1" customWidth="1"/>
    <col min="4" max="4" width="10.00390625" style="330" customWidth="1"/>
    <col min="5" max="5" width="8.7109375" style="330" customWidth="1"/>
    <col min="6" max="8" width="11.421875" style="330" customWidth="1"/>
    <col min="9" max="9" width="10.421875" style="330" customWidth="1"/>
    <col min="10" max="11" width="11.421875" style="330" customWidth="1"/>
    <col min="12" max="12" width="10.140625" style="330" customWidth="1"/>
    <col min="13" max="16384" width="9.00390625" style="330" customWidth="1"/>
  </cols>
  <sheetData>
    <row r="1" ht="15">
      <c r="K1" s="375" t="s">
        <v>94</v>
      </c>
    </row>
    <row r="2" spans="1:12" ht="15">
      <c r="A2" s="554" t="s">
        <v>118</v>
      </c>
      <c r="B2" s="554"/>
      <c r="C2" s="554"/>
      <c r="D2" s="554"/>
      <c r="E2" s="554"/>
      <c r="F2" s="554"/>
      <c r="G2" s="554"/>
      <c r="H2" s="554"/>
      <c r="I2" s="554"/>
      <c r="J2" s="554"/>
      <c r="K2" s="554"/>
      <c r="L2" s="554"/>
    </row>
    <row r="3" spans="1:12" ht="15">
      <c r="A3" s="555" t="s">
        <v>1143</v>
      </c>
      <c r="B3" s="555"/>
      <c r="C3" s="555"/>
      <c r="D3" s="555"/>
      <c r="E3" s="555"/>
      <c r="F3" s="555"/>
      <c r="G3" s="555"/>
      <c r="H3" s="555"/>
      <c r="I3" s="555"/>
      <c r="J3" s="555"/>
      <c r="K3" s="555"/>
      <c r="L3" s="555"/>
    </row>
    <row r="4" ht="15">
      <c r="L4" s="376" t="s">
        <v>1</v>
      </c>
    </row>
    <row r="5" spans="1:12" ht="15">
      <c r="A5" s="553" t="s">
        <v>2</v>
      </c>
      <c r="B5" s="553" t="s">
        <v>95</v>
      </c>
      <c r="C5" s="553" t="s">
        <v>1164</v>
      </c>
      <c r="D5" s="553" t="s">
        <v>119</v>
      </c>
      <c r="E5" s="553"/>
      <c r="F5" s="553"/>
      <c r="G5" s="553"/>
      <c r="H5" s="553" t="s">
        <v>120</v>
      </c>
      <c r="I5" s="553"/>
      <c r="J5" s="553"/>
      <c r="K5" s="553"/>
      <c r="L5" s="553" t="s">
        <v>1163</v>
      </c>
    </row>
    <row r="6" spans="1:12" ht="25.5" customHeight="1">
      <c r="A6" s="553"/>
      <c r="B6" s="553"/>
      <c r="C6" s="553"/>
      <c r="D6" s="553" t="s">
        <v>96</v>
      </c>
      <c r="E6" s="553"/>
      <c r="F6" s="553" t="s">
        <v>97</v>
      </c>
      <c r="G6" s="553" t="s">
        <v>98</v>
      </c>
      <c r="H6" s="553" t="s">
        <v>96</v>
      </c>
      <c r="I6" s="553"/>
      <c r="J6" s="553" t="s">
        <v>97</v>
      </c>
      <c r="K6" s="553" t="s">
        <v>98</v>
      </c>
      <c r="L6" s="553"/>
    </row>
    <row r="7" spans="1:12" ht="63.75">
      <c r="A7" s="553"/>
      <c r="B7" s="553"/>
      <c r="C7" s="553"/>
      <c r="D7" s="329" t="s">
        <v>61</v>
      </c>
      <c r="E7" s="329" t="s">
        <v>1165</v>
      </c>
      <c r="F7" s="553"/>
      <c r="G7" s="553"/>
      <c r="H7" s="329" t="s">
        <v>61</v>
      </c>
      <c r="I7" s="329" t="s">
        <v>1165</v>
      </c>
      <c r="J7" s="553"/>
      <c r="K7" s="553"/>
      <c r="L7" s="553"/>
    </row>
    <row r="8" spans="1:12" ht="15">
      <c r="A8" s="329" t="s">
        <v>5</v>
      </c>
      <c r="B8" s="329" t="s">
        <v>6</v>
      </c>
      <c r="C8" s="329">
        <v>1</v>
      </c>
      <c r="D8" s="329">
        <v>2</v>
      </c>
      <c r="E8" s="329">
        <v>3</v>
      </c>
      <c r="F8" s="329">
        <v>4</v>
      </c>
      <c r="G8" s="329" t="s">
        <v>99</v>
      </c>
      <c r="H8" s="329">
        <v>6</v>
      </c>
      <c r="I8" s="329">
        <v>7</v>
      </c>
      <c r="J8" s="329">
        <v>8</v>
      </c>
      <c r="K8" s="329" t="s">
        <v>100</v>
      </c>
      <c r="L8" s="329" t="s">
        <v>101</v>
      </c>
    </row>
    <row r="9" spans="1:12" ht="15.75">
      <c r="A9" s="377">
        <v>1</v>
      </c>
      <c r="B9" s="378" t="s">
        <v>1144</v>
      </c>
      <c r="C9" s="379">
        <v>2809.164</v>
      </c>
      <c r="D9" s="379">
        <v>2200</v>
      </c>
      <c r="E9" s="379"/>
      <c r="F9" s="379">
        <v>649</v>
      </c>
      <c r="G9" s="380">
        <f aca="true" t="shared" si="0" ref="G9:G27">D9-F9</f>
        <v>1551</v>
      </c>
      <c r="H9" s="379">
        <v>2257</v>
      </c>
      <c r="I9" s="379"/>
      <c r="J9" s="379">
        <v>589</v>
      </c>
      <c r="K9" s="380">
        <f aca="true" t="shared" si="1" ref="K9:K27">H9-J9</f>
        <v>1668</v>
      </c>
      <c r="L9" s="380">
        <f aca="true" t="shared" si="2" ref="L9:L27">C9+H9-J9</f>
        <v>4477.164000000001</v>
      </c>
    </row>
    <row r="10" spans="1:12" ht="31.5">
      <c r="A10" s="377">
        <v>2</v>
      </c>
      <c r="B10" s="378" t="s">
        <v>1145</v>
      </c>
      <c r="C10" s="379">
        <v>0</v>
      </c>
      <c r="D10" s="379">
        <v>60</v>
      </c>
      <c r="E10" s="379"/>
      <c r="F10" s="379">
        <v>60</v>
      </c>
      <c r="G10" s="380">
        <f t="shared" si="0"/>
        <v>0</v>
      </c>
      <c r="H10" s="379">
        <v>86.4</v>
      </c>
      <c r="I10" s="379"/>
      <c r="J10" s="379">
        <v>60.6</v>
      </c>
      <c r="K10" s="384">
        <v>25</v>
      </c>
      <c r="L10" s="384">
        <v>25</v>
      </c>
    </row>
    <row r="11" spans="1:12" ht="47.25">
      <c r="A11" s="377">
        <v>3</v>
      </c>
      <c r="B11" s="378" t="s">
        <v>1146</v>
      </c>
      <c r="C11" s="379">
        <v>8063.2</v>
      </c>
      <c r="D11" s="379">
        <v>0</v>
      </c>
      <c r="E11" s="379">
        <v>0</v>
      </c>
      <c r="F11" s="379">
        <v>5272.93</v>
      </c>
      <c r="G11" s="380">
        <f t="shared" si="0"/>
        <v>-5272.93</v>
      </c>
      <c r="H11" s="379">
        <v>2366</v>
      </c>
      <c r="I11" s="379">
        <v>0</v>
      </c>
      <c r="J11" s="379">
        <v>3360</v>
      </c>
      <c r="K11" s="380">
        <f t="shared" si="1"/>
        <v>-994</v>
      </c>
      <c r="L11" s="380">
        <f t="shared" si="2"/>
        <v>7069.200000000001</v>
      </c>
    </row>
    <row r="12" spans="1:12" ht="47.25">
      <c r="A12" s="377">
        <v>4</v>
      </c>
      <c r="B12" s="378" t="s">
        <v>1147</v>
      </c>
      <c r="C12" s="379">
        <v>451</v>
      </c>
      <c r="D12" s="379">
        <v>11000</v>
      </c>
      <c r="E12" s="379">
        <v>11000</v>
      </c>
      <c r="F12" s="379">
        <v>11000</v>
      </c>
      <c r="G12" s="380">
        <f t="shared" si="0"/>
        <v>0</v>
      </c>
      <c r="H12" s="379">
        <f>I12</f>
        <v>10000</v>
      </c>
      <c r="I12" s="379">
        <v>10000</v>
      </c>
      <c r="J12" s="379"/>
      <c r="K12" s="380">
        <f t="shared" si="1"/>
        <v>10000</v>
      </c>
      <c r="L12" s="380">
        <f t="shared" si="2"/>
        <v>10451</v>
      </c>
    </row>
    <row r="13" spans="1:12" ht="31.5">
      <c r="A13" s="377">
        <v>5</v>
      </c>
      <c r="B13" s="378" t="s">
        <v>1148</v>
      </c>
      <c r="C13" s="379">
        <v>7197</v>
      </c>
      <c r="D13" s="379">
        <v>12825</v>
      </c>
      <c r="E13" s="379"/>
      <c r="F13" s="379">
        <v>11458</v>
      </c>
      <c r="G13" s="380">
        <f t="shared" si="0"/>
        <v>1367</v>
      </c>
      <c r="H13" s="379">
        <v>13160</v>
      </c>
      <c r="I13" s="379"/>
      <c r="J13" s="379">
        <v>12820</v>
      </c>
      <c r="K13" s="380">
        <f t="shared" si="1"/>
        <v>340</v>
      </c>
      <c r="L13" s="380">
        <f t="shared" si="2"/>
        <v>7537</v>
      </c>
    </row>
    <row r="14" spans="1:12" ht="15.75">
      <c r="A14" s="377">
        <v>6</v>
      </c>
      <c r="B14" s="378" t="s">
        <v>1149</v>
      </c>
      <c r="C14" s="379">
        <v>530</v>
      </c>
      <c r="D14" s="379">
        <v>8900</v>
      </c>
      <c r="E14" s="379"/>
      <c r="F14" s="379">
        <v>9100</v>
      </c>
      <c r="G14" s="380">
        <f t="shared" si="0"/>
        <v>-200</v>
      </c>
      <c r="H14" s="379">
        <v>6867</v>
      </c>
      <c r="I14" s="379"/>
      <c r="J14" s="379">
        <v>6867</v>
      </c>
      <c r="K14" s="380">
        <f t="shared" si="1"/>
        <v>0</v>
      </c>
      <c r="L14" s="380">
        <f t="shared" si="2"/>
        <v>530</v>
      </c>
    </row>
    <row r="15" spans="1:12" ht="15.75">
      <c r="A15" s="377">
        <v>7</v>
      </c>
      <c r="B15" s="378" t="s">
        <v>1150</v>
      </c>
      <c r="C15" s="379">
        <v>3043.91</v>
      </c>
      <c r="D15" s="379">
        <v>108.027</v>
      </c>
      <c r="E15" s="379"/>
      <c r="F15" s="379">
        <v>26.285</v>
      </c>
      <c r="G15" s="380">
        <f t="shared" si="0"/>
        <v>81.742</v>
      </c>
      <c r="H15" s="379">
        <v>108.027</v>
      </c>
      <c r="I15" s="379"/>
      <c r="J15" s="379">
        <v>26.285</v>
      </c>
      <c r="K15" s="380">
        <f t="shared" si="1"/>
        <v>81.742</v>
      </c>
      <c r="L15" s="380">
        <f t="shared" si="2"/>
        <v>3125.652</v>
      </c>
    </row>
    <row r="16" spans="1:12" ht="31.5">
      <c r="A16" s="377">
        <v>8</v>
      </c>
      <c r="B16" s="378" t="s">
        <v>1151</v>
      </c>
      <c r="C16" s="379">
        <v>3501.12</v>
      </c>
      <c r="D16" s="379">
        <v>110</v>
      </c>
      <c r="E16" s="379"/>
      <c r="F16" s="379">
        <v>50</v>
      </c>
      <c r="G16" s="380">
        <f t="shared" si="0"/>
        <v>60</v>
      </c>
      <c r="H16" s="381">
        <v>114</v>
      </c>
      <c r="I16" s="379"/>
      <c r="J16" s="381">
        <v>55</v>
      </c>
      <c r="K16" s="380">
        <f t="shared" si="1"/>
        <v>59</v>
      </c>
      <c r="L16" s="380">
        <f t="shared" si="2"/>
        <v>3560.12</v>
      </c>
    </row>
    <row r="17" spans="1:12" ht="15.75">
      <c r="A17" s="377">
        <v>9</v>
      </c>
      <c r="B17" s="378" t="s">
        <v>1152</v>
      </c>
      <c r="C17" s="379">
        <v>2467.767437</v>
      </c>
      <c r="D17" s="379">
        <v>4044.839596</v>
      </c>
      <c r="E17" s="379"/>
      <c r="F17" s="379">
        <v>6187.88015</v>
      </c>
      <c r="G17" s="380">
        <f t="shared" si="0"/>
        <v>-2143.040554</v>
      </c>
      <c r="H17" s="379">
        <v>5918.342251</v>
      </c>
      <c r="I17" s="379"/>
      <c r="J17" s="379">
        <v>7520.57665</v>
      </c>
      <c r="K17" s="380">
        <f t="shared" si="1"/>
        <v>-1602.234399</v>
      </c>
      <c r="L17" s="380">
        <f t="shared" si="2"/>
        <v>865.5330380000005</v>
      </c>
    </row>
    <row r="18" spans="1:12" ht="15.75">
      <c r="A18" s="377">
        <v>10</v>
      </c>
      <c r="B18" s="378" t="s">
        <v>1153</v>
      </c>
      <c r="C18" s="379">
        <v>2343.081896</v>
      </c>
      <c r="D18" s="379">
        <v>8903.494157</v>
      </c>
      <c r="E18" s="379"/>
      <c r="F18" s="379">
        <v>4315.2036</v>
      </c>
      <c r="G18" s="380">
        <f t="shared" si="0"/>
        <v>4588.290556999999</v>
      </c>
      <c r="H18" s="379">
        <v>12275.986483</v>
      </c>
      <c r="I18" s="379"/>
      <c r="J18" s="379">
        <v>4870.6656</v>
      </c>
      <c r="K18" s="380">
        <f t="shared" si="1"/>
        <v>7405.320883</v>
      </c>
      <c r="L18" s="380">
        <f t="shared" si="2"/>
        <v>9748.402779</v>
      </c>
    </row>
    <row r="19" spans="1:12" ht="31.5">
      <c r="A19" s="377">
        <v>11</v>
      </c>
      <c r="B19" s="378" t="s">
        <v>1154</v>
      </c>
      <c r="C19" s="379">
        <v>1186</v>
      </c>
      <c r="D19" s="379">
        <v>1100</v>
      </c>
      <c r="E19" s="379"/>
      <c r="F19" s="379">
        <v>700</v>
      </c>
      <c r="G19" s="380">
        <f t="shared" si="0"/>
        <v>400</v>
      </c>
      <c r="H19" s="379">
        <v>1133</v>
      </c>
      <c r="I19" s="379"/>
      <c r="J19" s="379">
        <v>666</v>
      </c>
      <c r="K19" s="380">
        <f t="shared" si="1"/>
        <v>467</v>
      </c>
      <c r="L19" s="380">
        <f t="shared" si="2"/>
        <v>1653</v>
      </c>
    </row>
    <row r="20" spans="1:12" ht="15.75">
      <c r="A20" s="377">
        <v>12</v>
      </c>
      <c r="B20" s="378" t="s">
        <v>1155</v>
      </c>
      <c r="C20" s="379">
        <v>103.987859</v>
      </c>
      <c r="D20" s="379">
        <v>3666</v>
      </c>
      <c r="E20" s="379"/>
      <c r="F20" s="379">
        <v>3707.141671</v>
      </c>
      <c r="G20" s="380">
        <f t="shared" si="0"/>
        <v>-41.14167099999986</v>
      </c>
      <c r="H20" s="379">
        <v>4800</v>
      </c>
      <c r="I20" s="379"/>
      <c r="J20" s="379">
        <v>4900</v>
      </c>
      <c r="K20" s="380">
        <f t="shared" si="1"/>
        <v>-100</v>
      </c>
      <c r="L20" s="380">
        <f t="shared" si="2"/>
        <v>3.987858999999844</v>
      </c>
    </row>
    <row r="21" spans="1:12" ht="31.5">
      <c r="A21" s="377">
        <v>13</v>
      </c>
      <c r="B21" s="378" t="s">
        <v>1156</v>
      </c>
      <c r="C21" s="379">
        <v>3465</v>
      </c>
      <c r="D21" s="380">
        <v>254</v>
      </c>
      <c r="E21" s="380"/>
      <c r="F21" s="380">
        <v>204</v>
      </c>
      <c r="G21" s="380">
        <f t="shared" si="0"/>
        <v>50</v>
      </c>
      <c r="H21" s="380">
        <v>254</v>
      </c>
      <c r="I21" s="380"/>
      <c r="J21" s="380"/>
      <c r="K21" s="380">
        <f t="shared" si="1"/>
        <v>254</v>
      </c>
      <c r="L21" s="380">
        <f t="shared" si="2"/>
        <v>3719</v>
      </c>
    </row>
    <row r="22" spans="1:12" ht="15.75">
      <c r="A22" s="377">
        <v>14</v>
      </c>
      <c r="B22" s="378" t="s">
        <v>1157</v>
      </c>
      <c r="C22" s="379">
        <v>47</v>
      </c>
      <c r="D22" s="380">
        <v>179</v>
      </c>
      <c r="E22" s="380"/>
      <c r="F22" s="380">
        <v>200</v>
      </c>
      <c r="G22" s="380">
        <f t="shared" si="0"/>
        <v>-21</v>
      </c>
      <c r="H22" s="380">
        <v>179</v>
      </c>
      <c r="I22" s="380"/>
      <c r="J22" s="380"/>
      <c r="K22" s="380">
        <f t="shared" si="1"/>
        <v>179</v>
      </c>
      <c r="L22" s="380">
        <f t="shared" si="2"/>
        <v>226</v>
      </c>
    </row>
    <row r="23" spans="1:12" ht="31.5">
      <c r="A23" s="377">
        <v>15</v>
      </c>
      <c r="B23" s="378" t="s">
        <v>1158</v>
      </c>
      <c r="C23" s="379">
        <v>42</v>
      </c>
      <c r="D23" s="380">
        <v>73</v>
      </c>
      <c r="E23" s="380"/>
      <c r="F23" s="380">
        <v>95</v>
      </c>
      <c r="G23" s="380">
        <f t="shared" si="0"/>
        <v>-22</v>
      </c>
      <c r="H23" s="380">
        <v>73</v>
      </c>
      <c r="I23" s="380"/>
      <c r="J23" s="380"/>
      <c r="K23" s="380">
        <f t="shared" si="1"/>
        <v>73</v>
      </c>
      <c r="L23" s="380">
        <f t="shared" si="2"/>
        <v>115</v>
      </c>
    </row>
    <row r="24" spans="1:12" ht="15.75">
      <c r="A24" s="377">
        <v>16</v>
      </c>
      <c r="B24" s="378" t="s">
        <v>1159</v>
      </c>
      <c r="C24" s="379">
        <v>10</v>
      </c>
      <c r="D24" s="380">
        <v>150</v>
      </c>
      <c r="E24" s="380"/>
      <c r="F24" s="380">
        <v>160</v>
      </c>
      <c r="G24" s="380">
        <f t="shared" si="0"/>
        <v>-10</v>
      </c>
      <c r="H24" s="380">
        <v>150</v>
      </c>
      <c r="I24" s="380"/>
      <c r="J24" s="380"/>
      <c r="K24" s="380">
        <f t="shared" si="1"/>
        <v>150</v>
      </c>
      <c r="L24" s="380">
        <f t="shared" si="2"/>
        <v>160</v>
      </c>
    </row>
    <row r="25" spans="1:12" ht="15.75">
      <c r="A25" s="377">
        <v>17</v>
      </c>
      <c r="B25" s="378" t="s">
        <v>1160</v>
      </c>
      <c r="C25" s="379"/>
      <c r="D25" s="380">
        <v>37500</v>
      </c>
      <c r="E25" s="380">
        <v>37500</v>
      </c>
      <c r="F25" s="380"/>
      <c r="G25" s="380">
        <f t="shared" si="0"/>
        <v>37500</v>
      </c>
      <c r="H25" s="380">
        <f>30210</f>
        <v>30210</v>
      </c>
      <c r="I25" s="380">
        <v>30210</v>
      </c>
      <c r="J25" s="380">
        <v>0</v>
      </c>
      <c r="K25" s="380">
        <f t="shared" si="1"/>
        <v>30210</v>
      </c>
      <c r="L25" s="380">
        <f t="shared" si="2"/>
        <v>30210</v>
      </c>
    </row>
    <row r="26" spans="1:12" ht="31.5">
      <c r="A26" s="377">
        <v>18</v>
      </c>
      <c r="B26" s="378" t="s">
        <v>1161</v>
      </c>
      <c r="C26" s="379">
        <v>5403</v>
      </c>
      <c r="D26" s="380">
        <v>33599</v>
      </c>
      <c r="E26" s="380">
        <v>32417</v>
      </c>
      <c r="F26" s="380">
        <v>28231</v>
      </c>
      <c r="G26" s="380">
        <f t="shared" si="0"/>
        <v>5368</v>
      </c>
      <c r="H26" s="380">
        <v>23599</v>
      </c>
      <c r="I26" s="380">
        <v>22417</v>
      </c>
      <c r="J26" s="380">
        <v>28170</v>
      </c>
      <c r="K26" s="380">
        <f t="shared" si="1"/>
        <v>-4571</v>
      </c>
      <c r="L26" s="380">
        <f t="shared" si="2"/>
        <v>832</v>
      </c>
    </row>
    <row r="27" spans="1:12" ht="31.5">
      <c r="A27" s="377">
        <v>19</v>
      </c>
      <c r="B27" s="378" t="s">
        <v>1162</v>
      </c>
      <c r="C27" s="379">
        <v>24967</v>
      </c>
      <c r="D27" s="380">
        <v>11519</v>
      </c>
      <c r="E27" s="380"/>
      <c r="F27" s="380">
        <v>36486</v>
      </c>
      <c r="G27" s="380">
        <f t="shared" si="0"/>
        <v>-24967</v>
      </c>
      <c r="H27" s="380">
        <v>9866</v>
      </c>
      <c r="I27" s="380"/>
      <c r="J27" s="380">
        <v>10919</v>
      </c>
      <c r="K27" s="380">
        <f t="shared" si="1"/>
        <v>-1053</v>
      </c>
      <c r="L27" s="380">
        <f t="shared" si="2"/>
        <v>23914</v>
      </c>
    </row>
    <row r="28" spans="1:12" ht="15.75">
      <c r="A28" s="377"/>
      <c r="B28" s="382" t="s">
        <v>1035</v>
      </c>
      <c r="C28" s="383">
        <f>SUM(C9:C27)</f>
        <v>65630.231192</v>
      </c>
      <c r="D28" s="383">
        <f aca="true" t="shared" si="3" ref="D28:L28">SUM(D9:D27)</f>
        <v>136191.36075300002</v>
      </c>
      <c r="E28" s="383">
        <f t="shared" si="3"/>
        <v>80917</v>
      </c>
      <c r="F28" s="383">
        <f t="shared" si="3"/>
        <v>117902.440421</v>
      </c>
      <c r="G28" s="383">
        <f t="shared" si="3"/>
        <v>18288.920332</v>
      </c>
      <c r="H28" s="383">
        <f t="shared" si="3"/>
        <v>123416.755734</v>
      </c>
      <c r="I28" s="383">
        <f t="shared" si="3"/>
        <v>62627</v>
      </c>
      <c r="J28" s="383">
        <f t="shared" si="3"/>
        <v>80824.12724999999</v>
      </c>
      <c r="K28" s="383">
        <f t="shared" si="3"/>
        <v>42591.828484</v>
      </c>
      <c r="L28" s="383">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30" customWidth="1"/>
    <col min="2" max="2" width="51.7109375" style="330" customWidth="1"/>
    <col min="3" max="4" width="9.8515625" style="330" customWidth="1"/>
    <col min="5" max="16384" width="9.00390625" style="330" customWidth="1"/>
  </cols>
  <sheetData>
    <row r="1" ht="15">
      <c r="E1" s="375" t="s">
        <v>102</v>
      </c>
    </row>
    <row r="2" spans="1:5" ht="15">
      <c r="A2" s="554" t="s">
        <v>121</v>
      </c>
      <c r="B2" s="554"/>
      <c r="C2" s="554"/>
      <c r="D2" s="554"/>
      <c r="E2" s="554"/>
    </row>
    <row r="3" spans="1:5" ht="15">
      <c r="A3" s="554" t="s">
        <v>103</v>
      </c>
      <c r="B3" s="554"/>
      <c r="C3" s="554"/>
      <c r="D3" s="554"/>
      <c r="E3" s="554"/>
    </row>
    <row r="4" spans="1:5" ht="15">
      <c r="A4" s="555" t="s">
        <v>1143</v>
      </c>
      <c r="B4" s="555"/>
      <c r="C4" s="555"/>
      <c r="D4" s="555"/>
      <c r="E4" s="555"/>
    </row>
    <row r="5" spans="1:6" ht="15.75">
      <c r="A5" s="331"/>
      <c r="B5" s="331"/>
      <c r="C5" s="331"/>
      <c r="E5" s="343" t="s">
        <v>1</v>
      </c>
      <c r="F5" s="331"/>
    </row>
    <row r="6" spans="1:6" ht="63">
      <c r="A6" s="374" t="s">
        <v>2</v>
      </c>
      <c r="B6" s="374" t="s">
        <v>27</v>
      </c>
      <c r="C6" s="374" t="s">
        <v>119</v>
      </c>
      <c r="D6" s="374" t="s">
        <v>120</v>
      </c>
      <c r="E6" s="374" t="s">
        <v>28</v>
      </c>
      <c r="F6" s="331"/>
    </row>
    <row r="7" spans="1:6" s="332" customFormat="1" ht="15.75">
      <c r="A7" s="361" t="s">
        <v>5</v>
      </c>
      <c r="B7" s="361" t="s">
        <v>6</v>
      </c>
      <c r="C7" s="361">
        <v>1</v>
      </c>
      <c r="D7" s="361">
        <v>2</v>
      </c>
      <c r="E7" s="361" t="s">
        <v>30</v>
      </c>
      <c r="F7" s="414">
        <f>582413-F8</f>
        <v>519.9399999999441</v>
      </c>
    </row>
    <row r="8" spans="1:6" ht="15.75">
      <c r="A8" s="347"/>
      <c r="B8" s="344" t="s">
        <v>62</v>
      </c>
      <c r="C8" s="385">
        <f>C9+C51+C55+C80+C82+C88+C90+C92+C106</f>
        <v>582413.06</v>
      </c>
      <c r="D8" s="385">
        <f>D9+D51+D55+D80+D82+D88+D90+D92+D106</f>
        <v>584431.4947490001</v>
      </c>
      <c r="E8" s="386">
        <f>D8/C8</f>
        <v>1.0034656412907361</v>
      </c>
      <c r="F8" s="355">
        <f>C9+C51+C55+C82+C88+C90+C92+C106</f>
        <v>581893.06</v>
      </c>
    </row>
    <row r="9" spans="1:6" s="342" customFormat="1" ht="27" customHeight="1">
      <c r="A9" s="374" t="s">
        <v>7</v>
      </c>
      <c r="B9" s="344" t="s">
        <v>104</v>
      </c>
      <c r="C9" s="345">
        <f>C10+C44</f>
        <v>23098.66</v>
      </c>
      <c r="D9" s="345">
        <f>D10+D44</f>
        <v>22675.408749</v>
      </c>
      <c r="E9" s="346">
        <f>D9/C9</f>
        <v>0.9816763720925802</v>
      </c>
      <c r="F9" s="349"/>
    </row>
    <row r="10" spans="1:6" s="342" customFormat="1" ht="20.25" customHeight="1">
      <c r="A10" s="374" t="s">
        <v>8</v>
      </c>
      <c r="B10" s="411" t="s">
        <v>105</v>
      </c>
      <c r="C10" s="385">
        <f>SUM(C11:C43)</f>
        <v>16823.66</v>
      </c>
      <c r="D10" s="385">
        <f>SUM(D11:D43)</f>
        <v>16486</v>
      </c>
      <c r="E10" s="386">
        <f>D10/C10</f>
        <v>0.9799294564916314</v>
      </c>
      <c r="F10" s="349"/>
    </row>
    <row r="11" spans="1:6" ht="20.25" customHeight="1">
      <c r="A11" s="387"/>
      <c r="B11" s="388" t="s">
        <v>1166</v>
      </c>
      <c r="C11" s="389">
        <v>453.6</v>
      </c>
      <c r="D11" s="389">
        <v>467.26772001533544</v>
      </c>
      <c r="E11" s="390">
        <f>D11/C11</f>
        <v>1.0301316578821327</v>
      </c>
      <c r="F11" s="331"/>
    </row>
    <row r="12" spans="1:6" ht="20.25" customHeight="1">
      <c r="A12" s="387"/>
      <c r="B12" s="388" t="s">
        <v>1167</v>
      </c>
      <c r="C12" s="389">
        <v>72.16</v>
      </c>
      <c r="D12" s="389">
        <v>0</v>
      </c>
      <c r="E12" s="390">
        <f aca="true" t="shared" si="0" ref="E12:E41">D12/C12</f>
        <v>0</v>
      </c>
      <c r="F12" s="331"/>
    </row>
    <row r="13" spans="1:6" ht="20.25" customHeight="1">
      <c r="A13" s="387"/>
      <c r="B13" s="388" t="s">
        <v>1168</v>
      </c>
      <c r="C13" s="389">
        <v>240.59000000000003</v>
      </c>
      <c r="D13" s="389">
        <v>290.6793376795378</v>
      </c>
      <c r="E13" s="390">
        <f t="shared" si="0"/>
        <v>1.2081937639949198</v>
      </c>
      <c r="F13" s="331"/>
    </row>
    <row r="14" spans="1:6" ht="20.25" customHeight="1">
      <c r="A14" s="387"/>
      <c r="B14" s="388" t="s">
        <v>1169</v>
      </c>
      <c r="C14" s="389">
        <v>900</v>
      </c>
      <c r="D14" s="389">
        <v>819.4671927234999</v>
      </c>
      <c r="E14" s="390">
        <f t="shared" si="0"/>
        <v>0.910519103026111</v>
      </c>
      <c r="F14" s="331"/>
    </row>
    <row r="15" spans="1:6" ht="20.25" customHeight="1">
      <c r="A15" s="387"/>
      <c r="B15" s="388" t="s">
        <v>1170</v>
      </c>
      <c r="C15" s="389">
        <v>455.70000000000005</v>
      </c>
      <c r="D15" s="389">
        <v>390.1677580741249</v>
      </c>
      <c r="E15" s="390">
        <f t="shared" si="0"/>
        <v>0.8561943341543227</v>
      </c>
      <c r="F15" s="331"/>
    </row>
    <row r="16" spans="1:6" ht="20.25" customHeight="1">
      <c r="A16" s="387"/>
      <c r="B16" s="388" t="s">
        <v>1171</v>
      </c>
      <c r="C16" s="389">
        <v>801</v>
      </c>
      <c r="D16" s="389">
        <v>668.6371528028847</v>
      </c>
      <c r="E16" s="390">
        <f t="shared" si="0"/>
        <v>0.8347529997539135</v>
      </c>
      <c r="F16" s="331"/>
    </row>
    <row r="17" spans="1:6" ht="20.25" customHeight="1">
      <c r="A17" s="387"/>
      <c r="B17" s="388" t="s">
        <v>1172</v>
      </c>
      <c r="C17" s="389">
        <v>700</v>
      </c>
      <c r="D17" s="389">
        <v>698.3352034456472</v>
      </c>
      <c r="E17" s="390">
        <f t="shared" si="0"/>
        <v>0.9976217192080674</v>
      </c>
      <c r="F17" s="331"/>
    </row>
    <row r="18" spans="1:6" ht="20.25" customHeight="1">
      <c r="A18" s="387"/>
      <c r="B18" s="388" t="s">
        <v>1173</v>
      </c>
      <c r="C18" s="389">
        <v>240.10000000000002</v>
      </c>
      <c r="D18" s="389">
        <v>210.4142107986999</v>
      </c>
      <c r="E18" s="390">
        <f t="shared" si="0"/>
        <v>0.8763607280245727</v>
      </c>
      <c r="F18" s="331"/>
    </row>
    <row r="19" spans="1:6" ht="20.25" customHeight="1">
      <c r="A19" s="387"/>
      <c r="B19" s="388" t="s">
        <v>1174</v>
      </c>
      <c r="C19" s="389">
        <v>392.98</v>
      </c>
      <c r="D19" s="389">
        <v>150.4211929802688</v>
      </c>
      <c r="E19" s="390">
        <f t="shared" si="0"/>
        <v>0.3827706065964395</v>
      </c>
      <c r="F19" s="331"/>
    </row>
    <row r="20" spans="1:6" ht="20.25" customHeight="1">
      <c r="A20" s="387"/>
      <c r="B20" s="388" t="s">
        <v>1175</v>
      </c>
      <c r="C20" s="389">
        <v>159.72</v>
      </c>
      <c r="D20" s="389">
        <v>35.72632637283603</v>
      </c>
      <c r="E20" s="390">
        <f t="shared" si="0"/>
        <v>0.22368098154793406</v>
      </c>
      <c r="F20" s="331"/>
    </row>
    <row r="21" spans="1:6" ht="20.25" customHeight="1">
      <c r="A21" s="387"/>
      <c r="B21" s="388" t="s">
        <v>1176</v>
      </c>
      <c r="C21" s="389">
        <v>1414</v>
      </c>
      <c r="D21" s="389">
        <v>1201.1783882683508</v>
      </c>
      <c r="E21" s="390">
        <f t="shared" si="0"/>
        <v>0.8494896663849723</v>
      </c>
      <c r="F21" s="331"/>
    </row>
    <row r="22" spans="1:6" ht="20.25" customHeight="1">
      <c r="A22" s="387"/>
      <c r="B22" s="388" t="s">
        <v>1177</v>
      </c>
      <c r="C22" s="389">
        <v>1321</v>
      </c>
      <c r="D22" s="389">
        <v>773.81425967372</v>
      </c>
      <c r="E22" s="390">
        <f t="shared" si="0"/>
        <v>0.5857791519104618</v>
      </c>
      <c r="F22" s="331"/>
    </row>
    <row r="23" spans="1:6" ht="20.25" customHeight="1">
      <c r="A23" s="387"/>
      <c r="B23" s="388" t="s">
        <v>1178</v>
      </c>
      <c r="C23" s="389">
        <v>1176</v>
      </c>
      <c r="D23" s="389">
        <v>1069.4647820785315</v>
      </c>
      <c r="E23" s="390">
        <f t="shared" si="0"/>
        <v>0.909408828298071</v>
      </c>
      <c r="F23" s="331"/>
    </row>
    <row r="24" spans="1:6" ht="20.25" customHeight="1">
      <c r="A24" s="387"/>
      <c r="B24" s="388" t="s">
        <v>1179</v>
      </c>
      <c r="C24" s="389">
        <v>236.94</v>
      </c>
      <c r="D24" s="389">
        <v>208.9316234239348</v>
      </c>
      <c r="E24" s="390">
        <f t="shared" si="0"/>
        <v>0.881791269620726</v>
      </c>
      <c r="F24" s="331"/>
    </row>
    <row r="25" spans="1:6" ht="20.25" customHeight="1">
      <c r="A25" s="387"/>
      <c r="B25" s="388" t="s">
        <v>1180</v>
      </c>
      <c r="C25" s="389">
        <v>59.400000000000006</v>
      </c>
      <c r="D25" s="389">
        <v>21.332943725937326</v>
      </c>
      <c r="E25" s="390">
        <f t="shared" si="0"/>
        <v>0.35914046676662165</v>
      </c>
      <c r="F25" s="331"/>
    </row>
    <row r="26" spans="1:6" ht="20.25" customHeight="1">
      <c r="A26" s="387"/>
      <c r="B26" s="388" t="s">
        <v>1181</v>
      </c>
      <c r="C26" s="389">
        <v>153.56</v>
      </c>
      <c r="D26" s="389">
        <v>124.96431361025769</v>
      </c>
      <c r="E26" s="390">
        <f t="shared" si="0"/>
        <v>0.8137816723772967</v>
      </c>
      <c r="F26" s="331"/>
    </row>
    <row r="27" spans="1:6" ht="20.25" customHeight="1">
      <c r="A27" s="387"/>
      <c r="B27" s="388" t="s">
        <v>1182</v>
      </c>
      <c r="C27" s="389">
        <v>1320</v>
      </c>
      <c r="D27" s="389">
        <v>956.42599187284</v>
      </c>
      <c r="E27" s="390">
        <f t="shared" si="0"/>
        <v>0.7245651453582121</v>
      </c>
      <c r="F27" s="331"/>
    </row>
    <row r="28" spans="1:6" ht="20.25" customHeight="1">
      <c r="A28" s="387"/>
      <c r="B28" s="388" t="s">
        <v>1183</v>
      </c>
      <c r="C28" s="389">
        <v>81.4</v>
      </c>
      <c r="D28" s="389">
        <v>64.5190027067348</v>
      </c>
      <c r="E28" s="390">
        <f t="shared" si="0"/>
        <v>0.7926167408689778</v>
      </c>
      <c r="F28" s="331"/>
    </row>
    <row r="29" spans="1:6" ht="20.25" customHeight="1">
      <c r="A29" s="387"/>
      <c r="B29" s="388" t="s">
        <v>1184</v>
      </c>
      <c r="C29" s="389">
        <v>485.1</v>
      </c>
      <c r="D29" s="389">
        <v>408.0932827336127</v>
      </c>
      <c r="E29" s="390">
        <f t="shared" si="0"/>
        <v>0.8412559940911414</v>
      </c>
      <c r="F29" s="331"/>
    </row>
    <row r="30" spans="1:6" ht="20.25" customHeight="1">
      <c r="A30" s="387"/>
      <c r="B30" s="388" t="s">
        <v>1185</v>
      </c>
      <c r="C30" s="389">
        <v>142.10000000000002</v>
      </c>
      <c r="D30" s="389">
        <v>164.06288836094</v>
      </c>
      <c r="E30" s="390">
        <f t="shared" si="0"/>
        <v>1.1545593832578465</v>
      </c>
      <c r="F30" s="331"/>
    </row>
    <row r="31" spans="1:6" ht="20.25" customHeight="1">
      <c r="A31" s="387"/>
      <c r="B31" s="388" t="s">
        <v>1186</v>
      </c>
      <c r="C31" s="389">
        <v>498</v>
      </c>
      <c r="D31" s="389">
        <v>208.22623930516826</v>
      </c>
      <c r="E31" s="390">
        <f t="shared" si="0"/>
        <v>0.41812497852443425</v>
      </c>
      <c r="F31" s="331"/>
    </row>
    <row r="32" spans="1:6" ht="20.25" customHeight="1">
      <c r="A32" s="387"/>
      <c r="B32" s="388" t="s">
        <v>1187</v>
      </c>
      <c r="C32" s="389">
        <v>850</v>
      </c>
      <c r="D32" s="389">
        <v>735.3333886136335</v>
      </c>
      <c r="E32" s="390">
        <f t="shared" si="0"/>
        <v>0.8650981042513335</v>
      </c>
      <c r="F32" s="331"/>
    </row>
    <row r="33" spans="1:6" ht="20.25" customHeight="1">
      <c r="A33" s="387"/>
      <c r="B33" s="388" t="s">
        <v>1188</v>
      </c>
      <c r="C33" s="389">
        <v>260.19</v>
      </c>
      <c r="D33" s="389">
        <v>134.75201084481887</v>
      </c>
      <c r="E33" s="390">
        <f t="shared" si="0"/>
        <v>0.5178985004989387</v>
      </c>
      <c r="F33" s="331"/>
    </row>
    <row r="34" spans="1:6" ht="20.25" customHeight="1">
      <c r="A34" s="387"/>
      <c r="B34" s="388" t="s">
        <v>1189</v>
      </c>
      <c r="C34" s="389">
        <v>184.8</v>
      </c>
      <c r="D34" s="389">
        <v>12.434277759532943</v>
      </c>
      <c r="E34" s="390">
        <f t="shared" si="0"/>
        <v>0.06728505281132545</v>
      </c>
      <c r="F34" s="331"/>
    </row>
    <row r="35" spans="1:6" ht="20.25" customHeight="1">
      <c r="A35" s="387"/>
      <c r="B35" s="388" t="s">
        <v>1190</v>
      </c>
      <c r="C35" s="389">
        <v>60.72</v>
      </c>
      <c r="D35" s="389">
        <v>20.163502567103837</v>
      </c>
      <c r="E35" s="390">
        <f t="shared" si="0"/>
        <v>0.33207349418813964</v>
      </c>
      <c r="F35" s="331"/>
    </row>
    <row r="36" spans="1:6" ht="20.25" customHeight="1">
      <c r="A36" s="387"/>
      <c r="B36" s="388" t="s">
        <v>1191</v>
      </c>
      <c r="C36" s="389">
        <v>297.43</v>
      </c>
      <c r="D36" s="389">
        <v>186.03028372442716</v>
      </c>
      <c r="E36" s="390">
        <f t="shared" si="0"/>
        <v>0.6254590448993953</v>
      </c>
      <c r="F36" s="331"/>
    </row>
    <row r="37" spans="1:6" ht="20.25" customHeight="1">
      <c r="A37" s="387"/>
      <c r="B37" s="388" t="s">
        <v>1192</v>
      </c>
      <c r="C37" s="389">
        <v>574.77</v>
      </c>
      <c r="D37" s="389">
        <v>317.9962243347881</v>
      </c>
      <c r="E37" s="390">
        <f t="shared" si="0"/>
        <v>0.553258215172657</v>
      </c>
      <c r="F37" s="331"/>
    </row>
    <row r="38" spans="1:6" ht="20.25" customHeight="1">
      <c r="A38" s="387"/>
      <c r="B38" s="388" t="s">
        <v>1193</v>
      </c>
      <c r="C38" s="389">
        <v>1316</v>
      </c>
      <c r="D38" s="389">
        <v>754.9239547523495</v>
      </c>
      <c r="E38" s="390">
        <f t="shared" si="0"/>
        <v>0.5736504215443385</v>
      </c>
      <c r="F38" s="331"/>
    </row>
    <row r="39" spans="1:6" ht="20.25" customHeight="1">
      <c r="A39" s="387"/>
      <c r="B39" s="388" t="s">
        <v>1194</v>
      </c>
      <c r="C39" s="389">
        <v>519.4</v>
      </c>
      <c r="D39" s="389">
        <v>363.85899930816765</v>
      </c>
      <c r="E39" s="390">
        <f t="shared" si="0"/>
        <v>0.7005371569275466</v>
      </c>
      <c r="F39" s="331"/>
    </row>
    <row r="40" spans="1:6" ht="20.25" customHeight="1">
      <c r="A40" s="387"/>
      <c r="B40" s="388" t="s">
        <v>1195</v>
      </c>
      <c r="C40" s="389">
        <v>1277</v>
      </c>
      <c r="D40" s="389">
        <v>1030.7445138943388</v>
      </c>
      <c r="E40" s="390">
        <f t="shared" si="0"/>
        <v>0.8071609349211737</v>
      </c>
      <c r="F40" s="331"/>
    </row>
    <row r="41" spans="1:6" ht="20.25" customHeight="1">
      <c r="A41" s="387"/>
      <c r="B41" s="388" t="s">
        <v>1196</v>
      </c>
      <c r="C41" s="389">
        <v>180</v>
      </c>
      <c r="D41" s="389">
        <v>196.83763537647908</v>
      </c>
      <c r="E41" s="390">
        <f t="shared" si="0"/>
        <v>1.0935424187582172</v>
      </c>
      <c r="F41" s="331"/>
    </row>
    <row r="42" spans="1:6" ht="20.25" customHeight="1">
      <c r="A42" s="387"/>
      <c r="B42" s="388" t="s">
        <v>1197</v>
      </c>
      <c r="C42" s="389">
        <v>0</v>
      </c>
      <c r="D42" s="389">
        <v>60.677811814177794</v>
      </c>
      <c r="E42" s="390"/>
      <c r="F42" s="331"/>
    </row>
    <row r="43" spans="1:6" ht="20.25" customHeight="1">
      <c r="A43" s="387"/>
      <c r="B43" s="388" t="s">
        <v>1198</v>
      </c>
      <c r="C43" s="389">
        <v>0</v>
      </c>
      <c r="D43" s="389">
        <v>3740.1175863573226</v>
      </c>
      <c r="E43" s="390"/>
      <c r="F43" s="331"/>
    </row>
    <row r="44" spans="1:6" s="342" customFormat="1" ht="20.25" customHeight="1">
      <c r="A44" s="374" t="s">
        <v>8</v>
      </c>
      <c r="B44" s="411" t="s">
        <v>106</v>
      </c>
      <c r="C44" s="385">
        <f>SUM(C45:C50)</f>
        <v>6275</v>
      </c>
      <c r="D44" s="385">
        <f>SUM(D45:D50)</f>
        <v>6189.408748999999</v>
      </c>
      <c r="E44" s="386">
        <f>D44/C44</f>
        <v>0.9863599599999999</v>
      </c>
      <c r="F44" s="349"/>
    </row>
    <row r="45" spans="1:6" ht="20.25" customHeight="1">
      <c r="A45" s="391"/>
      <c r="B45" s="388" t="s">
        <v>1199</v>
      </c>
      <c r="C45" s="389">
        <v>1945</v>
      </c>
      <c r="D45" s="389">
        <v>2115.782969</v>
      </c>
      <c r="E45" s="390">
        <f aca="true" t="shared" si="1" ref="E45:E51">D45/C45</f>
        <v>1.0878061537275063</v>
      </c>
      <c r="F45" s="331"/>
    </row>
    <row r="46" spans="1:6" ht="20.25" customHeight="1">
      <c r="A46" s="391"/>
      <c r="B46" s="388" t="s">
        <v>1200</v>
      </c>
      <c r="C46" s="389">
        <v>1194</v>
      </c>
      <c r="D46" s="389">
        <v>764.77378</v>
      </c>
      <c r="E46" s="390">
        <f t="shared" si="1"/>
        <v>0.6405140536013401</v>
      </c>
      <c r="F46" s="331"/>
    </row>
    <row r="47" spans="1:6" ht="20.25" customHeight="1">
      <c r="A47" s="391"/>
      <c r="B47" s="388" t="s">
        <v>1201</v>
      </c>
      <c r="C47" s="389">
        <v>400</v>
      </c>
      <c r="D47" s="389">
        <v>436</v>
      </c>
      <c r="E47" s="390">
        <f t="shared" si="1"/>
        <v>1.09</v>
      </c>
      <c r="F47" s="331"/>
    </row>
    <row r="48" spans="1:6" ht="20.25" customHeight="1">
      <c r="A48" s="391"/>
      <c r="B48" s="388" t="s">
        <v>1202</v>
      </c>
      <c r="C48" s="389">
        <v>1908</v>
      </c>
      <c r="D48" s="389">
        <v>1900</v>
      </c>
      <c r="E48" s="390">
        <f t="shared" si="1"/>
        <v>0.9958071278825996</v>
      </c>
      <c r="F48" s="331"/>
    </row>
    <row r="49" spans="1:6" ht="20.25" customHeight="1">
      <c r="A49" s="391"/>
      <c r="B49" s="388" t="s">
        <v>1203</v>
      </c>
      <c r="C49" s="389">
        <v>370</v>
      </c>
      <c r="D49" s="389">
        <v>511</v>
      </c>
      <c r="E49" s="390">
        <f t="shared" si="1"/>
        <v>1.3810810810810812</v>
      </c>
      <c r="F49" s="331"/>
    </row>
    <row r="50" spans="1:6" ht="20.25" customHeight="1">
      <c r="A50" s="391"/>
      <c r="B50" s="388" t="s">
        <v>1204</v>
      </c>
      <c r="C50" s="389">
        <v>458</v>
      </c>
      <c r="D50" s="389">
        <v>461.852</v>
      </c>
      <c r="E50" s="390">
        <f t="shared" si="1"/>
        <v>1.008410480349345</v>
      </c>
      <c r="F50" s="331"/>
    </row>
    <row r="51" spans="1:6" s="342" customFormat="1" ht="20.25" customHeight="1">
      <c r="A51" s="374" t="s">
        <v>9</v>
      </c>
      <c r="B51" s="344" t="s">
        <v>107</v>
      </c>
      <c r="C51" s="385">
        <v>2340</v>
      </c>
      <c r="D51" s="385">
        <v>2648</v>
      </c>
      <c r="E51" s="386">
        <f t="shared" si="1"/>
        <v>1.1316239316239316</v>
      </c>
      <c r="F51" s="349"/>
    </row>
    <row r="52" spans="1:6" ht="20.25" customHeight="1">
      <c r="A52" s="392"/>
      <c r="B52" s="388" t="s">
        <v>1205</v>
      </c>
      <c r="C52" s="389">
        <v>360</v>
      </c>
      <c r="D52" s="389">
        <v>431</v>
      </c>
      <c r="E52" s="390">
        <f>D52/C52</f>
        <v>1.1972222222222222</v>
      </c>
      <c r="F52" s="331"/>
    </row>
    <row r="53" spans="1:6" ht="20.25" customHeight="1">
      <c r="A53" s="392"/>
      <c r="B53" s="388" t="s">
        <v>1206</v>
      </c>
      <c r="C53" s="389">
        <v>180</v>
      </c>
      <c r="D53" s="389">
        <v>253</v>
      </c>
      <c r="E53" s="390">
        <f>D53/C53</f>
        <v>1.4055555555555554</v>
      </c>
      <c r="F53" s="331"/>
    </row>
    <row r="54" spans="1:6" ht="20.25" customHeight="1">
      <c r="A54" s="392"/>
      <c r="B54" s="388" t="s">
        <v>1207</v>
      </c>
      <c r="C54" s="389">
        <v>1800</v>
      </c>
      <c r="D54" s="389">
        <v>1964</v>
      </c>
      <c r="E54" s="390">
        <f>D54/C54</f>
        <v>1.0911111111111111</v>
      </c>
      <c r="F54" s="331"/>
    </row>
    <row r="55" spans="1:6" s="342" customFormat="1" ht="20.25" customHeight="1">
      <c r="A55" s="374" t="s">
        <v>10</v>
      </c>
      <c r="B55" s="344" t="s">
        <v>108</v>
      </c>
      <c r="C55" s="393">
        <v>478390.4</v>
      </c>
      <c r="D55" s="393">
        <v>473561</v>
      </c>
      <c r="E55" s="386">
        <f>D55/C55</f>
        <v>0.9899048977571456</v>
      </c>
      <c r="F55" s="349"/>
    </row>
    <row r="56" spans="1:6" s="342" customFormat="1" ht="20.25" customHeight="1">
      <c r="A56" s="394"/>
      <c r="B56" s="395" t="s">
        <v>1208</v>
      </c>
      <c r="C56" s="396">
        <v>469710.4</v>
      </c>
      <c r="D56" s="396">
        <v>462614</v>
      </c>
      <c r="E56" s="386">
        <f aca="true" t="shared" si="2" ref="E56:E107">D56/C56</f>
        <v>0.98489196747613</v>
      </c>
      <c r="F56" s="349"/>
    </row>
    <row r="57" spans="1:6" ht="20.25" customHeight="1">
      <c r="A57" s="397">
        <v>1</v>
      </c>
      <c r="B57" s="398" t="s">
        <v>1209</v>
      </c>
      <c r="C57" s="399">
        <v>226320</v>
      </c>
      <c r="D57" s="399">
        <v>230452</v>
      </c>
      <c r="E57" s="390">
        <f t="shared" si="2"/>
        <v>1.0182573347472605</v>
      </c>
      <c r="F57" s="331"/>
    </row>
    <row r="58" spans="1:6" ht="20.25" customHeight="1">
      <c r="A58" s="397">
        <v>2</v>
      </c>
      <c r="B58" s="398" t="s">
        <v>1210</v>
      </c>
      <c r="C58" s="399">
        <v>35670</v>
      </c>
      <c r="D58" s="399">
        <v>37986</v>
      </c>
      <c r="E58" s="390">
        <f t="shared" si="2"/>
        <v>1.064928511354079</v>
      </c>
      <c r="F58" s="331"/>
    </row>
    <row r="59" spans="1:6" ht="20.25" customHeight="1">
      <c r="A59" s="397">
        <v>3</v>
      </c>
      <c r="B59" s="398" t="s">
        <v>1211</v>
      </c>
      <c r="C59" s="399">
        <v>5160</v>
      </c>
      <c r="D59" s="399">
        <v>4603</v>
      </c>
      <c r="E59" s="390">
        <f t="shared" si="2"/>
        <v>0.8920542635658915</v>
      </c>
      <c r="F59" s="331"/>
    </row>
    <row r="60" spans="1:6" ht="20.25" customHeight="1">
      <c r="A60" s="397">
        <v>4</v>
      </c>
      <c r="B60" s="398" t="s">
        <v>1212</v>
      </c>
      <c r="C60" s="399">
        <v>4450</v>
      </c>
      <c r="D60" s="399">
        <v>3791</v>
      </c>
      <c r="E60" s="390">
        <f t="shared" si="2"/>
        <v>0.8519101123595506</v>
      </c>
      <c r="F60" s="331"/>
    </row>
    <row r="61" spans="1:6" ht="20.25" customHeight="1">
      <c r="A61" s="397">
        <v>5</v>
      </c>
      <c r="B61" s="398" t="s">
        <v>1213</v>
      </c>
      <c r="C61" s="399">
        <v>7600</v>
      </c>
      <c r="D61" s="399">
        <v>7554</v>
      </c>
      <c r="E61" s="390">
        <f t="shared" si="2"/>
        <v>0.9939473684210526</v>
      </c>
      <c r="F61" s="331"/>
    </row>
    <row r="62" spans="1:6" ht="20.25" customHeight="1">
      <c r="A62" s="397">
        <v>6</v>
      </c>
      <c r="B62" s="398" t="s">
        <v>1214</v>
      </c>
      <c r="C62" s="399">
        <v>12000</v>
      </c>
      <c r="D62" s="399">
        <v>10462</v>
      </c>
      <c r="E62" s="390">
        <f t="shared" si="2"/>
        <v>0.8718333333333333</v>
      </c>
      <c r="F62" s="331"/>
    </row>
    <row r="63" spans="1:6" ht="20.25" customHeight="1">
      <c r="A63" s="397">
        <v>7</v>
      </c>
      <c r="B63" s="398" t="s">
        <v>1215</v>
      </c>
      <c r="C63" s="399">
        <v>37210</v>
      </c>
      <c r="D63" s="399">
        <v>37235</v>
      </c>
      <c r="E63" s="390">
        <f t="shared" si="2"/>
        <v>1.0006718624025799</v>
      </c>
      <c r="F63" s="331"/>
    </row>
    <row r="64" spans="1:6" ht="20.25" customHeight="1">
      <c r="A64" s="397">
        <v>8</v>
      </c>
      <c r="B64" s="398" t="s">
        <v>1216</v>
      </c>
      <c r="C64" s="399">
        <v>18249</v>
      </c>
      <c r="D64" s="399">
        <v>18977</v>
      </c>
      <c r="E64" s="390">
        <f t="shared" si="2"/>
        <v>1.0398925968546222</v>
      </c>
      <c r="F64" s="331"/>
    </row>
    <row r="65" spans="1:6" ht="20.25" customHeight="1">
      <c r="A65" s="397">
        <v>9</v>
      </c>
      <c r="B65" s="398" t="s">
        <v>1217</v>
      </c>
      <c r="C65" s="399">
        <v>17900.4</v>
      </c>
      <c r="D65" s="399">
        <v>18474</v>
      </c>
      <c r="E65" s="390">
        <f t="shared" si="2"/>
        <v>1.0320439766709122</v>
      </c>
      <c r="F65" s="331"/>
    </row>
    <row r="66" spans="1:6" ht="20.25" customHeight="1">
      <c r="A66" s="397">
        <v>10</v>
      </c>
      <c r="B66" s="398" t="s">
        <v>1218</v>
      </c>
      <c r="C66" s="399">
        <v>14922</v>
      </c>
      <c r="D66" s="399">
        <v>9567</v>
      </c>
      <c r="E66" s="390">
        <f t="shared" si="2"/>
        <v>0.6411338962605548</v>
      </c>
      <c r="F66" s="331"/>
    </row>
    <row r="67" spans="1:6" ht="20.25" customHeight="1">
      <c r="A67" s="397">
        <v>11</v>
      </c>
      <c r="B67" s="398" t="s">
        <v>1219</v>
      </c>
      <c r="C67" s="399">
        <v>18171</v>
      </c>
      <c r="D67" s="399">
        <v>15518</v>
      </c>
      <c r="E67" s="390">
        <f t="shared" si="2"/>
        <v>0.8539981288866876</v>
      </c>
      <c r="F67" s="331"/>
    </row>
    <row r="68" spans="1:6" ht="20.25" customHeight="1">
      <c r="A68" s="397">
        <v>12</v>
      </c>
      <c r="B68" s="398" t="s">
        <v>1220</v>
      </c>
      <c r="C68" s="399">
        <v>22832</v>
      </c>
      <c r="D68" s="399">
        <v>21006</v>
      </c>
      <c r="E68" s="390">
        <f t="shared" si="2"/>
        <v>0.9200245269796776</v>
      </c>
      <c r="F68" s="331"/>
    </row>
    <row r="69" spans="1:6" ht="20.25" customHeight="1">
      <c r="A69" s="397">
        <v>13</v>
      </c>
      <c r="B69" s="398" t="s">
        <v>1221</v>
      </c>
      <c r="C69" s="399">
        <v>24975</v>
      </c>
      <c r="D69" s="399">
        <v>24008</v>
      </c>
      <c r="E69" s="390">
        <f t="shared" si="2"/>
        <v>0.9612812812812813</v>
      </c>
      <c r="F69" s="331"/>
    </row>
    <row r="70" spans="1:6" ht="20.25" customHeight="1">
      <c r="A70" s="397">
        <v>14</v>
      </c>
      <c r="B70" s="398" t="s">
        <v>1222</v>
      </c>
      <c r="C70" s="399">
        <v>20616</v>
      </c>
      <c r="D70" s="399">
        <v>18771</v>
      </c>
      <c r="E70" s="390">
        <f t="shared" si="2"/>
        <v>0.9105064027939465</v>
      </c>
      <c r="F70" s="331"/>
    </row>
    <row r="71" spans="1:6" ht="20.25" customHeight="1">
      <c r="A71" s="397">
        <v>15</v>
      </c>
      <c r="B71" s="400" t="s">
        <v>1223</v>
      </c>
      <c r="C71" s="399">
        <v>3535</v>
      </c>
      <c r="D71" s="399">
        <v>4210</v>
      </c>
      <c r="E71" s="390">
        <f t="shared" si="2"/>
        <v>1.190947666195191</v>
      </c>
      <c r="F71" s="331"/>
    </row>
    <row r="72" spans="1:6" ht="20.25" customHeight="1">
      <c r="A72" s="397">
        <v>16</v>
      </c>
      <c r="B72" s="400" t="s">
        <v>1224</v>
      </c>
      <c r="C72" s="399">
        <v>100</v>
      </c>
      <c r="D72" s="399"/>
      <c r="E72" s="390">
        <f t="shared" si="2"/>
        <v>0</v>
      </c>
      <c r="F72" s="331"/>
    </row>
    <row r="73" spans="1:6" ht="20.25" customHeight="1">
      <c r="A73" s="397">
        <v>17</v>
      </c>
      <c r="B73" s="398" t="s">
        <v>1225</v>
      </c>
      <c r="C73" s="399">
        <v>3820</v>
      </c>
      <c r="D73" s="399">
        <v>5588</v>
      </c>
      <c r="E73" s="390">
        <f t="shared" si="2"/>
        <v>1.46282722513089</v>
      </c>
      <c r="F73" s="331"/>
    </row>
    <row r="74" spans="1:6" ht="20.25" customHeight="1">
      <c r="A74" s="397">
        <v>18</v>
      </c>
      <c r="B74" s="398" t="s">
        <v>1226</v>
      </c>
      <c r="C74" s="399">
        <v>30</v>
      </c>
      <c r="D74" s="399">
        <v>20</v>
      </c>
      <c r="E74" s="390">
        <f t="shared" si="2"/>
        <v>0.6666666666666666</v>
      </c>
      <c r="F74" s="331"/>
    </row>
    <row r="75" spans="1:6" ht="20.25" customHeight="1">
      <c r="A75" s="397">
        <v>19</v>
      </c>
      <c r="B75" s="398" t="s">
        <v>1227</v>
      </c>
      <c r="C75" s="399">
        <v>60</v>
      </c>
      <c r="D75" s="399">
        <v>67</v>
      </c>
      <c r="E75" s="390">
        <f t="shared" si="2"/>
        <v>1.1166666666666667</v>
      </c>
      <c r="F75" s="331"/>
    </row>
    <row r="76" spans="1:6" ht="20.25" customHeight="1">
      <c r="A76" s="397">
        <v>20</v>
      </c>
      <c r="B76" s="398" t="s">
        <v>1228</v>
      </c>
      <c r="C76" s="399">
        <v>100</v>
      </c>
      <c r="D76" s="399">
        <v>117</v>
      </c>
      <c r="E76" s="390">
        <f t="shared" si="2"/>
        <v>1.17</v>
      </c>
      <c r="F76" s="331"/>
    </row>
    <row r="77" spans="1:6" ht="20.25" customHeight="1">
      <c r="A77" s="397">
        <v>21</v>
      </c>
      <c r="B77" s="398" t="s">
        <v>1229</v>
      </c>
      <c r="C77" s="399">
        <v>250</v>
      </c>
      <c r="D77" s="399">
        <v>1401</v>
      </c>
      <c r="E77" s="390">
        <f t="shared" si="2"/>
        <v>5.604</v>
      </c>
      <c r="F77" s="331"/>
    </row>
    <row r="78" spans="1:6" ht="20.25" customHeight="1">
      <c r="A78" s="397">
        <v>22</v>
      </c>
      <c r="B78" s="398" t="s">
        <v>1230</v>
      </c>
      <c r="C78" s="399">
        <v>420</v>
      </c>
      <c r="D78" s="399">
        <v>153</v>
      </c>
      <c r="E78" s="390">
        <f t="shared" si="2"/>
        <v>0.36428571428571427</v>
      </c>
      <c r="F78" s="331"/>
    </row>
    <row r="79" spans="1:6" ht="20.25" customHeight="1">
      <c r="A79" s="397">
        <v>23</v>
      </c>
      <c r="B79" s="398" t="s">
        <v>1231</v>
      </c>
      <c r="C79" s="399">
        <v>4000</v>
      </c>
      <c r="D79" s="399">
        <v>3601</v>
      </c>
      <c r="E79" s="390">
        <f t="shared" si="2"/>
        <v>0.90025</v>
      </c>
      <c r="F79" s="331"/>
    </row>
    <row r="80" spans="1:6" s="342" customFormat="1" ht="20.25" customHeight="1">
      <c r="A80" s="387" t="s">
        <v>11</v>
      </c>
      <c r="B80" s="401" t="s">
        <v>1257</v>
      </c>
      <c r="C80" s="385">
        <v>520</v>
      </c>
      <c r="D80" s="385">
        <v>1367</v>
      </c>
      <c r="E80" s="386">
        <f t="shared" si="2"/>
        <v>2.628846153846154</v>
      </c>
      <c r="F80" s="349"/>
    </row>
    <row r="81" spans="1:6" ht="20.25" customHeight="1">
      <c r="A81" s="402"/>
      <c r="B81" s="403" t="s">
        <v>1258</v>
      </c>
      <c r="C81" s="404">
        <v>520</v>
      </c>
      <c r="D81" s="404">
        <v>1367</v>
      </c>
      <c r="E81" s="390">
        <f t="shared" si="2"/>
        <v>2.628846153846154</v>
      </c>
      <c r="F81" s="331"/>
    </row>
    <row r="82" spans="1:6" s="342" customFormat="1" ht="36.75" customHeight="1">
      <c r="A82" s="374" t="s">
        <v>12</v>
      </c>
      <c r="B82" s="405" t="s">
        <v>109</v>
      </c>
      <c r="C82" s="385">
        <v>2310</v>
      </c>
      <c r="D82" s="385">
        <v>2450</v>
      </c>
      <c r="E82" s="386">
        <f t="shared" si="2"/>
        <v>1.0606060606060606</v>
      </c>
      <c r="F82" s="349"/>
    </row>
    <row r="83" spans="1:6" ht="20.25" customHeight="1">
      <c r="A83" s="347"/>
      <c r="B83" s="403" t="s">
        <v>1232</v>
      </c>
      <c r="C83" s="389">
        <v>350</v>
      </c>
      <c r="D83" s="389">
        <v>339</v>
      </c>
      <c r="E83" s="390">
        <f t="shared" si="2"/>
        <v>0.9685714285714285</v>
      </c>
      <c r="F83" s="331"/>
    </row>
    <row r="84" spans="1:6" ht="20.25" customHeight="1">
      <c r="A84" s="347"/>
      <c r="B84" s="403" t="s">
        <v>1233</v>
      </c>
      <c r="C84" s="389">
        <v>650</v>
      </c>
      <c r="D84" s="389">
        <v>918</v>
      </c>
      <c r="E84" s="390">
        <f t="shared" si="2"/>
        <v>1.4123076923076923</v>
      </c>
      <c r="F84" s="331"/>
    </row>
    <row r="85" spans="1:6" ht="20.25" customHeight="1">
      <c r="A85" s="347"/>
      <c r="B85" s="403" t="s">
        <v>1234</v>
      </c>
      <c r="C85" s="389">
        <v>620</v>
      </c>
      <c r="D85" s="389">
        <v>567</v>
      </c>
      <c r="E85" s="390">
        <f t="shared" si="2"/>
        <v>0.9145161290322581</v>
      </c>
      <c r="F85" s="331"/>
    </row>
    <row r="86" spans="1:6" ht="20.25" customHeight="1">
      <c r="A86" s="347"/>
      <c r="B86" s="403" t="s">
        <v>1235</v>
      </c>
      <c r="C86" s="389">
        <v>550</v>
      </c>
      <c r="D86" s="389">
        <v>537</v>
      </c>
      <c r="E86" s="390">
        <f t="shared" si="2"/>
        <v>0.9763636363636363</v>
      </c>
      <c r="F86" s="331"/>
    </row>
    <row r="87" spans="1:6" ht="20.25" customHeight="1">
      <c r="A87" s="347"/>
      <c r="B87" s="403" t="s">
        <v>1236</v>
      </c>
      <c r="C87" s="389">
        <v>140</v>
      </c>
      <c r="D87" s="389">
        <v>89</v>
      </c>
      <c r="E87" s="390">
        <f t="shared" si="2"/>
        <v>0.6357142857142857</v>
      </c>
      <c r="F87" s="331"/>
    </row>
    <row r="88" spans="1:6" s="342" customFormat="1" ht="33.75" customHeight="1">
      <c r="A88" s="374" t="s">
        <v>37</v>
      </c>
      <c r="B88" s="405" t="s">
        <v>110</v>
      </c>
      <c r="C88" s="385">
        <v>13755</v>
      </c>
      <c r="D88" s="385">
        <v>12260</v>
      </c>
      <c r="E88" s="386">
        <f t="shared" si="2"/>
        <v>0.891312250090876</v>
      </c>
      <c r="F88" s="349"/>
    </row>
    <row r="89" spans="1:6" ht="20.25" customHeight="1">
      <c r="A89" s="347"/>
      <c r="B89" s="388" t="s">
        <v>1237</v>
      </c>
      <c r="C89" s="389">
        <v>13755</v>
      </c>
      <c r="D89" s="389">
        <v>12260</v>
      </c>
      <c r="E89" s="390">
        <f t="shared" si="2"/>
        <v>0.891312250090876</v>
      </c>
      <c r="F89" s="331"/>
    </row>
    <row r="90" spans="1:6" s="342" customFormat="1" ht="20.25" customHeight="1">
      <c r="A90" s="387" t="s">
        <v>64</v>
      </c>
      <c r="B90" s="405" t="s">
        <v>1238</v>
      </c>
      <c r="C90" s="385">
        <v>1226</v>
      </c>
      <c r="D90" s="385">
        <v>2745</v>
      </c>
      <c r="E90" s="386">
        <f t="shared" si="2"/>
        <v>2.2389885807504077</v>
      </c>
      <c r="F90" s="349"/>
    </row>
    <row r="91" spans="1:6" ht="15.75">
      <c r="A91" s="392"/>
      <c r="B91" s="388" t="s">
        <v>1239</v>
      </c>
      <c r="C91" s="389">
        <v>1226</v>
      </c>
      <c r="D91" s="389">
        <v>2745</v>
      </c>
      <c r="E91" s="390">
        <f t="shared" si="2"/>
        <v>2.2389885807504077</v>
      </c>
      <c r="F91" s="331"/>
    </row>
    <row r="92" spans="1:6" s="342" customFormat="1" ht="15.75">
      <c r="A92" s="387" t="s">
        <v>112</v>
      </c>
      <c r="B92" s="405" t="s">
        <v>1241</v>
      </c>
      <c r="C92" s="385">
        <f>SUM(C93:C105)</f>
        <v>56039</v>
      </c>
      <c r="D92" s="385">
        <f>SUM(D93:D105)</f>
        <v>60936.632</v>
      </c>
      <c r="E92" s="386">
        <f t="shared" si="2"/>
        <v>1.0873968486232801</v>
      </c>
      <c r="F92" s="349"/>
    </row>
    <row r="93" spans="1:6" ht="15.75">
      <c r="A93" s="392"/>
      <c r="B93" s="403" t="s">
        <v>1242</v>
      </c>
      <c r="C93" s="389">
        <v>650</v>
      </c>
      <c r="D93" s="389">
        <v>926</v>
      </c>
      <c r="E93" s="390">
        <f t="shared" si="2"/>
        <v>1.4246153846153846</v>
      </c>
      <c r="F93" s="331"/>
    </row>
    <row r="94" spans="1:6" ht="15.75">
      <c r="A94" s="392"/>
      <c r="B94" s="403" t="s">
        <v>1243</v>
      </c>
      <c r="C94" s="389">
        <v>537</v>
      </c>
      <c r="D94" s="389">
        <v>883.978</v>
      </c>
      <c r="E94" s="390">
        <f t="shared" si="2"/>
        <v>1.646141527001862</v>
      </c>
      <c r="F94" s="331"/>
    </row>
    <row r="95" spans="1:6" ht="15.75">
      <c r="A95" s="392"/>
      <c r="B95" s="403" t="s">
        <v>1244</v>
      </c>
      <c r="C95" s="389">
        <v>2000</v>
      </c>
      <c r="D95" s="389">
        <v>4234</v>
      </c>
      <c r="E95" s="390">
        <f t="shared" si="2"/>
        <v>2.117</v>
      </c>
      <c r="F95" s="331"/>
    </row>
    <row r="96" spans="1:6" ht="31.5">
      <c r="A96" s="392"/>
      <c r="B96" s="403" t="s">
        <v>1245</v>
      </c>
      <c r="C96" s="389">
        <v>1100</v>
      </c>
      <c r="D96" s="389">
        <v>1565</v>
      </c>
      <c r="E96" s="390">
        <f t="shared" si="2"/>
        <v>1.4227272727272726</v>
      </c>
      <c r="F96" s="331"/>
    </row>
    <row r="97" spans="1:6" ht="31.5">
      <c r="A97" s="347"/>
      <c r="B97" s="350" t="s">
        <v>1246</v>
      </c>
      <c r="C97" s="389">
        <v>430</v>
      </c>
      <c r="D97" s="389">
        <v>427.654</v>
      </c>
      <c r="E97" s="390">
        <f t="shared" si="2"/>
        <v>0.9945441860465116</v>
      </c>
      <c r="F97" s="331"/>
    </row>
    <row r="98" spans="1:6" ht="15.75">
      <c r="A98" s="347"/>
      <c r="B98" s="350" t="s">
        <v>1247</v>
      </c>
      <c r="C98" s="389">
        <v>1950</v>
      </c>
      <c r="D98" s="389">
        <v>1928</v>
      </c>
      <c r="E98" s="390">
        <f t="shared" si="2"/>
        <v>0.9887179487179487</v>
      </c>
      <c r="F98" s="331"/>
    </row>
    <row r="99" spans="1:6" ht="31.5">
      <c r="A99" s="347"/>
      <c r="B99" s="350" t="s">
        <v>1248</v>
      </c>
      <c r="C99" s="389">
        <v>8500</v>
      </c>
      <c r="D99" s="389">
        <v>8425</v>
      </c>
      <c r="E99" s="390">
        <f t="shared" si="2"/>
        <v>0.9911764705882353</v>
      </c>
      <c r="F99" s="331"/>
    </row>
    <row r="100" spans="1:6" ht="31.5">
      <c r="A100" s="347"/>
      <c r="B100" s="350" t="s">
        <v>1249</v>
      </c>
      <c r="C100" s="389">
        <v>20000</v>
      </c>
      <c r="D100" s="389">
        <v>20017</v>
      </c>
      <c r="E100" s="390">
        <f t="shared" si="2"/>
        <v>1.00085</v>
      </c>
      <c r="F100" s="331"/>
    </row>
    <row r="101" spans="1:6" ht="15.75">
      <c r="A101" s="347"/>
      <c r="B101" s="350" t="s">
        <v>1250</v>
      </c>
      <c r="C101" s="389">
        <v>3200</v>
      </c>
      <c r="D101" s="389">
        <v>3171</v>
      </c>
      <c r="E101" s="390">
        <f t="shared" si="2"/>
        <v>0.9909375</v>
      </c>
      <c r="F101" s="331"/>
    </row>
    <row r="102" spans="1:6" ht="15.75">
      <c r="A102" s="347"/>
      <c r="B102" s="350" t="s">
        <v>1251</v>
      </c>
      <c r="C102" s="389">
        <v>6</v>
      </c>
      <c r="D102" s="389">
        <v>6</v>
      </c>
      <c r="E102" s="390">
        <f t="shared" si="2"/>
        <v>1</v>
      </c>
      <c r="F102" s="331"/>
    </row>
    <row r="103" spans="1:6" ht="15.75">
      <c r="A103" s="347"/>
      <c r="B103" s="350" t="s">
        <v>1252</v>
      </c>
      <c r="C103" s="389">
        <v>15300</v>
      </c>
      <c r="D103" s="389">
        <v>15302</v>
      </c>
      <c r="E103" s="390">
        <f t="shared" si="2"/>
        <v>1.0001307189542483</v>
      </c>
      <c r="F103" s="331"/>
    </row>
    <row r="104" spans="1:6" ht="15.75">
      <c r="A104" s="347"/>
      <c r="B104" s="203" t="s">
        <v>1253</v>
      </c>
      <c r="C104" s="389">
        <v>666</v>
      </c>
      <c r="D104" s="406">
        <v>1225</v>
      </c>
      <c r="E104" s="390">
        <f t="shared" si="2"/>
        <v>1.8393393393393394</v>
      </c>
      <c r="F104" s="331"/>
    </row>
    <row r="105" spans="1:6" ht="15.75">
      <c r="A105" s="347"/>
      <c r="B105" s="407" t="s">
        <v>1254</v>
      </c>
      <c r="C105" s="389">
        <v>1700</v>
      </c>
      <c r="D105" s="406">
        <v>2826</v>
      </c>
      <c r="E105" s="390">
        <f t="shared" si="2"/>
        <v>1.6623529411764706</v>
      </c>
      <c r="F105" s="331"/>
    </row>
    <row r="106" spans="1:6" s="342" customFormat="1" ht="15.75">
      <c r="A106" s="387" t="s">
        <v>1240</v>
      </c>
      <c r="B106" s="408" t="s">
        <v>1255</v>
      </c>
      <c r="C106" s="385">
        <v>4734</v>
      </c>
      <c r="D106" s="385">
        <v>5788.454</v>
      </c>
      <c r="E106" s="386">
        <f t="shared" si="2"/>
        <v>1.2227405999155048</v>
      </c>
      <c r="F106" s="349"/>
    </row>
    <row r="107" spans="1:6" ht="15.75">
      <c r="A107" s="392"/>
      <c r="B107" s="409" t="s">
        <v>433</v>
      </c>
      <c r="C107" s="389">
        <v>2050</v>
      </c>
      <c r="D107" s="389">
        <v>2722.654</v>
      </c>
      <c r="E107" s="390">
        <f t="shared" si="2"/>
        <v>1.3281239024390243</v>
      </c>
      <c r="F107" s="331"/>
    </row>
    <row r="108" spans="1:6" ht="15.75">
      <c r="A108" s="392"/>
      <c r="B108" s="409" t="s">
        <v>1256</v>
      </c>
      <c r="C108" s="389">
        <v>2684</v>
      </c>
      <c r="D108" s="389">
        <v>3065.8</v>
      </c>
      <c r="E108" s="410">
        <v>1.1422503725782416</v>
      </c>
      <c r="F108" s="331"/>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23" t="s">
        <v>65</v>
      </c>
      <c r="T1" s="523"/>
      <c r="U1" s="523"/>
    </row>
    <row r="2" spans="1:21" s="499" customFormat="1" ht="19.5" customHeight="1">
      <c r="A2" s="524" t="s">
        <v>158</v>
      </c>
      <c r="B2" s="524"/>
      <c r="C2" s="524"/>
      <c r="D2" s="524"/>
      <c r="E2" s="524"/>
      <c r="F2" s="524"/>
      <c r="G2" s="524"/>
      <c r="H2" s="524"/>
      <c r="I2" s="524"/>
      <c r="J2" s="524"/>
      <c r="K2" s="524"/>
      <c r="L2" s="524"/>
      <c r="M2" s="524"/>
      <c r="N2" s="524"/>
      <c r="O2" s="524"/>
      <c r="P2" s="524"/>
      <c r="Q2" s="524"/>
      <c r="R2" s="524"/>
      <c r="S2" s="524"/>
      <c r="T2" s="524"/>
      <c r="U2" s="524"/>
    </row>
    <row r="3" spans="1:21" ht="27" customHeight="1">
      <c r="A3" s="525" t="s">
        <v>1143</v>
      </c>
      <c r="B3" s="525"/>
      <c r="C3" s="525"/>
      <c r="D3" s="525"/>
      <c r="E3" s="525"/>
      <c r="F3" s="525"/>
      <c r="G3" s="525"/>
      <c r="H3" s="525"/>
      <c r="I3" s="525"/>
      <c r="J3" s="525"/>
      <c r="K3" s="525"/>
      <c r="L3" s="525"/>
      <c r="M3" s="525"/>
      <c r="N3" s="525"/>
      <c r="O3" s="525"/>
      <c r="P3" s="525"/>
      <c r="Q3" s="525"/>
      <c r="R3" s="525"/>
      <c r="S3" s="525"/>
      <c r="T3" s="525"/>
      <c r="U3" s="525"/>
    </row>
    <row r="4" spans="2:21" ht="15.75" customHeight="1">
      <c r="B4" s="526"/>
      <c r="C4" s="526"/>
      <c r="D4" s="526"/>
      <c r="E4" s="526"/>
      <c r="F4" s="526"/>
      <c r="G4" s="526"/>
      <c r="H4" s="526"/>
      <c r="I4" s="526"/>
      <c r="J4" s="526"/>
      <c r="K4" s="526"/>
      <c r="L4" s="526"/>
      <c r="M4" s="526"/>
      <c r="N4" s="526"/>
      <c r="O4" s="526"/>
      <c r="S4" s="527" t="s">
        <v>1</v>
      </c>
      <c r="T4" s="527"/>
      <c r="U4" s="527"/>
    </row>
    <row r="5" spans="1:21" ht="11.25">
      <c r="A5" s="521" t="s">
        <v>2</v>
      </c>
      <c r="B5" s="521" t="s">
        <v>60</v>
      </c>
      <c r="C5" s="528" t="s">
        <v>159</v>
      </c>
      <c r="D5" s="520" t="s">
        <v>3</v>
      </c>
      <c r="E5" s="520" t="s">
        <v>4</v>
      </c>
      <c r="F5" s="520" t="s">
        <v>31</v>
      </c>
      <c r="G5" s="520" t="s">
        <v>36</v>
      </c>
      <c r="H5" s="520" t="s">
        <v>41</v>
      </c>
      <c r="I5" s="520" t="s">
        <v>42</v>
      </c>
      <c r="J5" s="520" t="s">
        <v>43</v>
      </c>
      <c r="K5" s="520" t="s">
        <v>44</v>
      </c>
      <c r="L5" s="520" t="s">
        <v>45</v>
      </c>
      <c r="M5" s="520" t="s">
        <v>46</v>
      </c>
      <c r="N5" s="520" t="s">
        <v>47</v>
      </c>
      <c r="O5" s="520" t="s">
        <v>48</v>
      </c>
      <c r="P5" s="520" t="s">
        <v>66</v>
      </c>
      <c r="Q5" s="520"/>
      <c r="R5" s="520" t="s">
        <v>49</v>
      </c>
      <c r="S5" s="520" t="s">
        <v>50</v>
      </c>
      <c r="T5" s="520" t="s">
        <v>51</v>
      </c>
      <c r="U5" s="520" t="s">
        <v>28</v>
      </c>
    </row>
    <row r="6" spans="1:21" ht="53.25" customHeight="1">
      <c r="A6" s="521"/>
      <c r="B6" s="521"/>
      <c r="C6" s="529"/>
      <c r="D6" s="520"/>
      <c r="E6" s="520"/>
      <c r="F6" s="520"/>
      <c r="G6" s="520"/>
      <c r="H6" s="520"/>
      <c r="I6" s="520"/>
      <c r="J6" s="520"/>
      <c r="K6" s="520"/>
      <c r="L6" s="520"/>
      <c r="M6" s="520"/>
      <c r="N6" s="520"/>
      <c r="O6" s="520"/>
      <c r="P6" s="242" t="s">
        <v>67</v>
      </c>
      <c r="Q6" s="242" t="s">
        <v>68</v>
      </c>
      <c r="R6" s="520"/>
      <c r="S6" s="520"/>
      <c r="T6" s="520"/>
      <c r="U6" s="520"/>
    </row>
    <row r="7" spans="1:21" s="17" customFormat="1" ht="11.25">
      <c r="A7" s="244" t="s">
        <v>5</v>
      </c>
      <c r="B7" s="244" t="s">
        <v>6</v>
      </c>
      <c r="C7" s="244"/>
      <c r="D7" s="244">
        <v>1</v>
      </c>
      <c r="E7" s="244">
        <v>2</v>
      </c>
      <c r="F7" s="244">
        <v>3</v>
      </c>
      <c r="G7" s="244">
        <v>4</v>
      </c>
      <c r="H7" s="244">
        <v>5</v>
      </c>
      <c r="I7" s="244">
        <v>6</v>
      </c>
      <c r="J7" s="244">
        <v>7</v>
      </c>
      <c r="K7" s="244">
        <v>8</v>
      </c>
      <c r="L7" s="244">
        <v>9</v>
      </c>
      <c r="M7" s="244">
        <v>10</v>
      </c>
      <c r="N7" s="244">
        <v>11</v>
      </c>
      <c r="O7" s="244">
        <v>12</v>
      </c>
      <c r="P7" s="244">
        <v>13</v>
      </c>
      <c r="Q7" s="244">
        <v>14</v>
      </c>
      <c r="R7" s="244">
        <v>15</v>
      </c>
      <c r="S7" s="244">
        <v>16</v>
      </c>
      <c r="T7" s="244">
        <v>17</v>
      </c>
      <c r="U7" s="242" t="s">
        <v>69</v>
      </c>
    </row>
    <row r="8" spans="1:21" ht="21.75" customHeight="1">
      <c r="A8" s="244"/>
      <c r="B8" s="18" t="s">
        <v>62</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2"/>
    </row>
    <row r="9" spans="1:21" ht="21.75" customHeight="1" hidden="1">
      <c r="A9" s="20"/>
      <c r="B9" s="21" t="s">
        <v>84</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160</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161</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162</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163</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164</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165</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166</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167</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168</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169</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4">
        <v>1</v>
      </c>
      <c r="B20" s="18" t="s">
        <v>170</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84</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171</v>
      </c>
      <c r="C22" s="29"/>
      <c r="D22" s="30">
        <v>0</v>
      </c>
      <c r="E22" s="480">
        <v>2138.609</v>
      </c>
      <c r="F22" s="480">
        <v>0</v>
      </c>
      <c r="G22" s="480">
        <v>0</v>
      </c>
      <c r="H22" s="480">
        <v>0</v>
      </c>
      <c r="I22" s="480">
        <v>0</v>
      </c>
      <c r="J22" s="480">
        <v>0</v>
      </c>
      <c r="K22" s="480">
        <v>0</v>
      </c>
      <c r="L22" s="480">
        <v>0</v>
      </c>
      <c r="M22" s="480">
        <v>0</v>
      </c>
      <c r="N22" s="480">
        <v>0</v>
      </c>
      <c r="O22" s="480">
        <v>2138.609</v>
      </c>
      <c r="P22" s="480">
        <v>2138.609</v>
      </c>
      <c r="Q22" s="480">
        <v>0</v>
      </c>
      <c r="R22" s="480">
        <v>0</v>
      </c>
      <c r="S22" s="480">
        <v>0</v>
      </c>
      <c r="T22" s="30">
        <v>0</v>
      </c>
      <c r="U22" s="31"/>
    </row>
    <row r="23" spans="1:21" ht="33.75" hidden="1">
      <c r="A23" s="20"/>
      <c r="B23" s="33" t="s">
        <v>172</v>
      </c>
      <c r="C23" s="34">
        <v>7644698</v>
      </c>
      <c r="D23" s="23"/>
      <c r="E23" s="481">
        <v>190.929</v>
      </c>
      <c r="F23" s="481"/>
      <c r="G23" s="481"/>
      <c r="H23" s="481"/>
      <c r="I23" s="481"/>
      <c r="J23" s="481"/>
      <c r="K23" s="481"/>
      <c r="L23" s="481"/>
      <c r="M23" s="481"/>
      <c r="N23" s="481"/>
      <c r="O23" s="481">
        <v>190.929</v>
      </c>
      <c r="P23" s="481">
        <v>190.929</v>
      </c>
      <c r="Q23" s="481"/>
      <c r="R23" s="481"/>
      <c r="S23" s="481"/>
      <c r="T23" s="23"/>
      <c r="U23" s="23"/>
    </row>
    <row r="24" spans="1:21" ht="22.5" hidden="1">
      <c r="A24" s="20"/>
      <c r="B24" s="33" t="s">
        <v>173</v>
      </c>
      <c r="C24" s="34">
        <v>7603360</v>
      </c>
      <c r="D24" s="23"/>
      <c r="E24" s="481">
        <v>1760.288</v>
      </c>
      <c r="F24" s="481"/>
      <c r="G24" s="481"/>
      <c r="H24" s="481"/>
      <c r="I24" s="481"/>
      <c r="J24" s="481"/>
      <c r="K24" s="481"/>
      <c r="L24" s="481"/>
      <c r="M24" s="481"/>
      <c r="N24" s="481"/>
      <c r="O24" s="481">
        <v>1760.288</v>
      </c>
      <c r="P24" s="481">
        <v>1760.288</v>
      </c>
      <c r="Q24" s="481"/>
      <c r="R24" s="481"/>
      <c r="S24" s="481"/>
      <c r="T24" s="23"/>
      <c r="U24" s="23"/>
    </row>
    <row r="25" spans="1:21" ht="33.75" hidden="1">
      <c r="A25" s="20"/>
      <c r="B25" s="33" t="s">
        <v>174</v>
      </c>
      <c r="C25" s="34">
        <v>7650286</v>
      </c>
      <c r="D25" s="23"/>
      <c r="E25" s="481">
        <v>187.392</v>
      </c>
      <c r="F25" s="481"/>
      <c r="G25" s="481"/>
      <c r="H25" s="481"/>
      <c r="I25" s="481"/>
      <c r="J25" s="481"/>
      <c r="K25" s="481"/>
      <c r="L25" s="481"/>
      <c r="M25" s="481"/>
      <c r="N25" s="481"/>
      <c r="O25" s="481">
        <v>187.392</v>
      </c>
      <c r="P25" s="481">
        <v>187.392</v>
      </c>
      <c r="Q25" s="481"/>
      <c r="R25" s="481"/>
      <c r="S25" s="481"/>
      <c r="T25" s="23"/>
      <c r="U25" s="23"/>
    </row>
    <row r="26" spans="1:21" ht="11.25" hidden="1">
      <c r="A26" s="20"/>
      <c r="B26" s="35" t="s">
        <v>169</v>
      </c>
      <c r="C26" s="36"/>
      <c r="D26" s="23"/>
      <c r="E26" s="481"/>
      <c r="F26" s="481"/>
      <c r="G26" s="481"/>
      <c r="H26" s="481"/>
      <c r="I26" s="481"/>
      <c r="J26" s="481"/>
      <c r="K26" s="481"/>
      <c r="L26" s="481"/>
      <c r="M26" s="481"/>
      <c r="N26" s="481"/>
      <c r="O26" s="481"/>
      <c r="P26" s="481"/>
      <c r="Q26" s="481"/>
      <c r="R26" s="481"/>
      <c r="S26" s="481"/>
      <c r="T26" s="23"/>
      <c r="U26" s="23"/>
    </row>
    <row r="27" spans="1:21" s="27" customFormat="1" ht="18.75" customHeight="1">
      <c r="A27" s="244">
        <v>2</v>
      </c>
      <c r="B27" s="18" t="s">
        <v>175</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2"/>
    </row>
    <row r="28" spans="1:21" ht="11.25" hidden="1">
      <c r="A28" s="20"/>
      <c r="B28" s="21" t="s">
        <v>84</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176</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177</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178</v>
      </c>
      <c r="C31" s="43">
        <v>7070650</v>
      </c>
      <c r="D31" s="44">
        <v>150.728</v>
      </c>
      <c r="E31" s="482">
        <v>150.728</v>
      </c>
      <c r="F31" s="24"/>
      <c r="G31" s="24"/>
      <c r="H31" s="24"/>
      <c r="I31" s="24"/>
      <c r="J31" s="24"/>
      <c r="K31" s="24"/>
      <c r="L31" s="24"/>
      <c r="M31" s="24"/>
      <c r="N31" s="24"/>
      <c r="O31" s="482">
        <v>150.728</v>
      </c>
      <c r="P31" s="24"/>
      <c r="Q31" s="24"/>
      <c r="R31" s="24"/>
      <c r="S31" s="24"/>
      <c r="T31" s="22"/>
      <c r="U31" s="22"/>
    </row>
    <row r="32" spans="1:21" ht="33.75" hidden="1">
      <c r="A32" s="20"/>
      <c r="B32" s="45" t="s">
        <v>179</v>
      </c>
      <c r="C32" s="43">
        <v>7034294</v>
      </c>
      <c r="D32" s="44">
        <v>184.733</v>
      </c>
      <c r="E32" s="482">
        <v>184.733</v>
      </c>
      <c r="F32" s="24"/>
      <c r="G32" s="24"/>
      <c r="H32" s="24"/>
      <c r="I32" s="24"/>
      <c r="J32" s="24"/>
      <c r="K32" s="24"/>
      <c r="L32" s="24"/>
      <c r="M32" s="24"/>
      <c r="N32" s="24"/>
      <c r="O32" s="482">
        <v>184.733</v>
      </c>
      <c r="P32" s="24"/>
      <c r="Q32" s="24"/>
      <c r="R32" s="24"/>
      <c r="S32" s="24"/>
      <c r="T32" s="22"/>
      <c r="U32" s="22"/>
    </row>
    <row r="33" spans="1:21" ht="56.25" hidden="1">
      <c r="A33" s="20"/>
      <c r="B33" s="33" t="s">
        <v>180</v>
      </c>
      <c r="C33" s="34">
        <v>7636643</v>
      </c>
      <c r="D33" s="44">
        <v>236.266</v>
      </c>
      <c r="E33" s="482">
        <v>236.266</v>
      </c>
      <c r="F33" s="24"/>
      <c r="G33" s="24"/>
      <c r="H33" s="24"/>
      <c r="I33" s="24"/>
      <c r="J33" s="24"/>
      <c r="K33" s="24"/>
      <c r="L33" s="24"/>
      <c r="M33" s="24"/>
      <c r="N33" s="24"/>
      <c r="O33" s="482">
        <v>236.266</v>
      </c>
      <c r="P33" s="24"/>
      <c r="Q33" s="24"/>
      <c r="R33" s="24"/>
      <c r="S33" s="24"/>
      <c r="T33" s="22"/>
      <c r="U33" s="22"/>
    </row>
    <row r="34" spans="1:21" ht="22.5" hidden="1">
      <c r="A34" s="20"/>
      <c r="B34" s="33" t="s">
        <v>181</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165</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182</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183</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184</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185</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186</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187</v>
      </c>
      <c r="C41" s="51" t="s">
        <v>188</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189</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190</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191</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192</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169</v>
      </c>
      <c r="C46" s="36"/>
      <c r="D46" s="54">
        <v>0</v>
      </c>
      <c r="E46" s="483"/>
      <c r="F46" s="483"/>
      <c r="G46" s="483"/>
      <c r="H46" s="483"/>
      <c r="I46" s="483"/>
      <c r="J46" s="483"/>
      <c r="K46" s="483"/>
      <c r="L46" s="483"/>
      <c r="M46" s="483"/>
      <c r="N46" s="483"/>
      <c r="O46" s="483"/>
      <c r="P46" s="483"/>
      <c r="Q46" s="483"/>
      <c r="R46" s="483"/>
      <c r="S46" s="483"/>
      <c r="T46" s="54"/>
      <c r="U46" s="54"/>
    </row>
    <row r="47" spans="1:255" s="497" customFormat="1" ht="42">
      <c r="A47" s="73">
        <v>3</v>
      </c>
      <c r="B47" s="72" t="s">
        <v>193</v>
      </c>
      <c r="C47" s="73"/>
      <c r="D47" s="133">
        <v>82.897</v>
      </c>
      <c r="E47" s="498">
        <v>82.897</v>
      </c>
      <c r="F47" s="498">
        <v>0</v>
      </c>
      <c r="G47" s="498">
        <v>0</v>
      </c>
      <c r="H47" s="498">
        <v>0</v>
      </c>
      <c r="I47" s="498">
        <v>0</v>
      </c>
      <c r="J47" s="498">
        <v>0</v>
      </c>
      <c r="K47" s="498">
        <v>0</v>
      </c>
      <c r="L47" s="498">
        <v>0</v>
      </c>
      <c r="M47" s="498">
        <v>0</v>
      </c>
      <c r="N47" s="498">
        <v>0</v>
      </c>
      <c r="O47" s="498">
        <v>82.897</v>
      </c>
      <c r="P47" s="498">
        <v>0</v>
      </c>
      <c r="Q47" s="498">
        <v>0</v>
      </c>
      <c r="R47" s="498">
        <v>0</v>
      </c>
      <c r="S47" s="498">
        <v>0</v>
      </c>
      <c r="T47" s="133">
        <v>0</v>
      </c>
      <c r="U47" s="479"/>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496"/>
      <c r="BV47" s="496"/>
      <c r="BW47" s="496"/>
      <c r="BX47" s="496"/>
      <c r="BY47" s="496"/>
      <c r="BZ47" s="496"/>
      <c r="CA47" s="496"/>
      <c r="CB47" s="496"/>
      <c r="CC47" s="496"/>
      <c r="CD47" s="496"/>
      <c r="CE47" s="496"/>
      <c r="CF47" s="496"/>
      <c r="CG47" s="496"/>
      <c r="CH47" s="496"/>
      <c r="CI47" s="496"/>
      <c r="CJ47" s="496"/>
      <c r="CK47" s="496"/>
      <c r="CL47" s="496"/>
      <c r="CM47" s="496"/>
      <c r="CN47" s="496"/>
      <c r="CO47" s="496"/>
      <c r="CP47" s="496"/>
      <c r="CQ47" s="496"/>
      <c r="CR47" s="496"/>
      <c r="CS47" s="496"/>
      <c r="CT47" s="496"/>
      <c r="CU47" s="496"/>
      <c r="CV47" s="496"/>
      <c r="CW47" s="496"/>
      <c r="CX47" s="496"/>
      <c r="CY47" s="496"/>
      <c r="CZ47" s="496"/>
      <c r="DA47" s="496"/>
      <c r="DB47" s="496"/>
      <c r="DC47" s="496"/>
      <c r="DD47" s="496"/>
      <c r="DE47" s="496"/>
      <c r="DF47" s="496"/>
      <c r="DG47" s="496"/>
      <c r="DH47" s="496"/>
      <c r="DI47" s="496"/>
      <c r="DJ47" s="496"/>
      <c r="DK47" s="496"/>
      <c r="DL47" s="496"/>
      <c r="DM47" s="496"/>
      <c r="DN47" s="496"/>
      <c r="DO47" s="496"/>
      <c r="DP47" s="496"/>
      <c r="DQ47" s="496"/>
      <c r="DR47" s="496"/>
      <c r="DS47" s="496"/>
      <c r="DT47" s="496"/>
      <c r="DU47" s="496"/>
      <c r="DV47" s="496"/>
      <c r="DW47" s="496"/>
      <c r="DX47" s="496"/>
      <c r="DY47" s="496"/>
      <c r="DZ47" s="496"/>
      <c r="EA47" s="496"/>
      <c r="EB47" s="496"/>
      <c r="EC47" s="496"/>
      <c r="ED47" s="496"/>
      <c r="EE47" s="496"/>
      <c r="EF47" s="496"/>
      <c r="EG47" s="496"/>
      <c r="EH47" s="496"/>
      <c r="EI47" s="496"/>
      <c r="EJ47" s="496"/>
      <c r="EK47" s="496"/>
      <c r="EL47" s="496"/>
      <c r="EM47" s="496"/>
      <c r="EN47" s="496"/>
      <c r="EO47" s="496"/>
      <c r="EP47" s="496"/>
      <c r="EQ47" s="496"/>
      <c r="ER47" s="496"/>
      <c r="ES47" s="496"/>
      <c r="ET47" s="496"/>
      <c r="EU47" s="496"/>
      <c r="EV47" s="496"/>
      <c r="EW47" s="496"/>
      <c r="EX47" s="496"/>
      <c r="EY47" s="496"/>
      <c r="EZ47" s="496"/>
      <c r="FA47" s="496"/>
      <c r="FB47" s="496"/>
      <c r="FC47" s="496"/>
      <c r="FD47" s="496"/>
      <c r="FE47" s="496"/>
      <c r="FF47" s="496"/>
      <c r="FG47" s="496"/>
      <c r="FH47" s="496"/>
      <c r="FI47" s="496"/>
      <c r="FJ47" s="496"/>
      <c r="FK47" s="496"/>
      <c r="FL47" s="496"/>
      <c r="FM47" s="496"/>
      <c r="FN47" s="496"/>
      <c r="FO47" s="496"/>
      <c r="FP47" s="496"/>
      <c r="FQ47" s="496"/>
      <c r="FR47" s="496"/>
      <c r="FS47" s="496"/>
      <c r="FT47" s="496"/>
      <c r="FU47" s="496"/>
      <c r="FV47" s="496"/>
      <c r="FW47" s="496"/>
      <c r="FX47" s="496"/>
      <c r="FY47" s="496"/>
      <c r="FZ47" s="496"/>
      <c r="GA47" s="496"/>
      <c r="GB47" s="496"/>
      <c r="GC47" s="496"/>
      <c r="GD47" s="496"/>
      <c r="GE47" s="496"/>
      <c r="GF47" s="496"/>
      <c r="GG47" s="496"/>
      <c r="GH47" s="496"/>
      <c r="GI47" s="496"/>
      <c r="GJ47" s="496"/>
      <c r="GK47" s="496"/>
      <c r="GL47" s="496"/>
      <c r="GM47" s="496"/>
      <c r="GN47" s="496"/>
      <c r="GO47" s="496"/>
      <c r="GP47" s="496"/>
      <c r="GQ47" s="496"/>
      <c r="GR47" s="496"/>
      <c r="GS47" s="496"/>
      <c r="GT47" s="496"/>
      <c r="GU47" s="496"/>
      <c r="GV47" s="496"/>
      <c r="GW47" s="496"/>
      <c r="GX47" s="496"/>
      <c r="GY47" s="496"/>
      <c r="GZ47" s="496"/>
      <c r="HA47" s="496"/>
      <c r="HB47" s="496"/>
      <c r="HC47" s="496"/>
      <c r="HD47" s="496"/>
      <c r="HE47" s="496"/>
      <c r="HF47" s="496"/>
      <c r="HG47" s="496"/>
      <c r="HH47" s="496"/>
      <c r="HI47" s="496"/>
      <c r="HJ47" s="496"/>
      <c r="HK47" s="496"/>
      <c r="HL47" s="496"/>
      <c r="HM47" s="496"/>
      <c r="HN47" s="496"/>
      <c r="HO47" s="496"/>
      <c r="HP47" s="496"/>
      <c r="HQ47" s="496"/>
      <c r="HR47" s="496"/>
      <c r="HS47" s="496"/>
      <c r="HT47" s="496"/>
      <c r="HU47" s="496"/>
      <c r="HV47" s="496"/>
      <c r="HW47" s="496"/>
      <c r="HX47" s="496"/>
      <c r="HY47" s="496"/>
      <c r="HZ47" s="496"/>
      <c r="IA47" s="496"/>
      <c r="IB47" s="496"/>
      <c r="IC47" s="496"/>
      <c r="ID47" s="496"/>
      <c r="IE47" s="496"/>
      <c r="IF47" s="496"/>
      <c r="IG47" s="496"/>
      <c r="IH47" s="496"/>
      <c r="II47" s="496"/>
      <c r="IJ47" s="496"/>
      <c r="IK47" s="496"/>
      <c r="IL47" s="496"/>
      <c r="IM47" s="496"/>
      <c r="IN47" s="496"/>
      <c r="IO47" s="496"/>
      <c r="IP47" s="496"/>
      <c r="IQ47" s="496"/>
      <c r="IR47" s="496"/>
      <c r="IS47" s="496"/>
      <c r="IT47" s="496"/>
      <c r="IU47" s="496"/>
    </row>
    <row r="48" spans="1:255" s="57" customFormat="1" ht="11.25" hidden="1">
      <c r="A48" s="53"/>
      <c r="B48" s="495" t="s">
        <v>84</v>
      </c>
      <c r="C48" s="53"/>
      <c r="D48" s="55">
        <v>82.897</v>
      </c>
      <c r="E48" s="484">
        <v>82.897</v>
      </c>
      <c r="F48" s="484">
        <v>0</v>
      </c>
      <c r="G48" s="484">
        <v>0</v>
      </c>
      <c r="H48" s="484">
        <v>0</v>
      </c>
      <c r="I48" s="484">
        <v>0</v>
      </c>
      <c r="J48" s="484">
        <v>0</v>
      </c>
      <c r="K48" s="484">
        <v>0</v>
      </c>
      <c r="L48" s="484">
        <v>0</v>
      </c>
      <c r="M48" s="484">
        <v>0</v>
      </c>
      <c r="N48" s="484">
        <v>0</v>
      </c>
      <c r="O48" s="484">
        <v>82.897</v>
      </c>
      <c r="P48" s="484">
        <v>0</v>
      </c>
      <c r="Q48" s="484">
        <v>0</v>
      </c>
      <c r="R48" s="484">
        <v>0</v>
      </c>
      <c r="S48" s="484">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176</v>
      </c>
      <c r="C49" s="58"/>
      <c r="D49" s="60">
        <v>82.897</v>
      </c>
      <c r="E49" s="485">
        <v>82.897</v>
      </c>
      <c r="F49" s="61">
        <v>0</v>
      </c>
      <c r="G49" s="61">
        <v>0</v>
      </c>
      <c r="H49" s="61">
        <v>0</v>
      </c>
      <c r="I49" s="61">
        <v>0</v>
      </c>
      <c r="J49" s="61">
        <v>0</v>
      </c>
      <c r="K49" s="61">
        <v>0</v>
      </c>
      <c r="L49" s="61">
        <v>0</v>
      </c>
      <c r="M49" s="61">
        <v>0</v>
      </c>
      <c r="N49" s="61">
        <v>0</v>
      </c>
      <c r="O49" s="485">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194</v>
      </c>
      <c r="C50" s="34">
        <v>7073906</v>
      </c>
      <c r="D50" s="44">
        <v>82.897</v>
      </c>
      <c r="E50" s="482">
        <v>82.897</v>
      </c>
      <c r="F50" s="486"/>
      <c r="G50" s="486"/>
      <c r="H50" s="486"/>
      <c r="I50" s="486"/>
      <c r="J50" s="486"/>
      <c r="K50" s="486"/>
      <c r="L50" s="486"/>
      <c r="M50" s="486"/>
      <c r="N50" s="486"/>
      <c r="O50" s="482">
        <v>82.897</v>
      </c>
      <c r="P50" s="486"/>
      <c r="Q50" s="486"/>
      <c r="R50" s="486"/>
      <c r="S50" s="486"/>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169</v>
      </c>
      <c r="C51" s="36"/>
      <c r="D51" s="65">
        <v>0</v>
      </c>
      <c r="E51" s="487"/>
      <c r="F51" s="488"/>
      <c r="G51" s="488"/>
      <c r="H51" s="488"/>
      <c r="I51" s="488"/>
      <c r="J51" s="488"/>
      <c r="K51" s="488"/>
      <c r="L51" s="488"/>
      <c r="M51" s="488"/>
      <c r="N51" s="488"/>
      <c r="O51" s="487"/>
      <c r="P51" s="488"/>
      <c r="Q51" s="488"/>
      <c r="R51" s="488"/>
      <c r="S51" s="488"/>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4">
        <v>4</v>
      </c>
      <c r="B52" s="18" t="s">
        <v>195</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2"/>
    </row>
    <row r="53" spans="1:21" s="27" customFormat="1" ht="11.25" hidden="1">
      <c r="A53" s="244"/>
      <c r="B53" s="21" t="s">
        <v>84</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2"/>
    </row>
    <row r="54" spans="1:21" s="46" customFormat="1" ht="11.25" hidden="1">
      <c r="A54" s="37"/>
      <c r="B54" s="38" t="s">
        <v>176</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196</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197</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198</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199</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165</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200</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169</v>
      </c>
      <c r="C61" s="21"/>
      <c r="D61" s="22">
        <v>0</v>
      </c>
      <c r="E61" s="24"/>
      <c r="F61" s="24"/>
      <c r="G61" s="24"/>
      <c r="H61" s="24"/>
      <c r="I61" s="24"/>
      <c r="J61" s="24"/>
      <c r="K61" s="24"/>
      <c r="L61" s="24"/>
      <c r="M61" s="24"/>
      <c r="N61" s="24"/>
      <c r="O61" s="24"/>
      <c r="P61" s="24"/>
      <c r="Q61" s="24"/>
      <c r="R61" s="24"/>
      <c r="S61" s="24"/>
      <c r="T61" s="22"/>
      <c r="U61" s="22"/>
    </row>
    <row r="62" spans="1:21" s="27" customFormat="1" ht="21">
      <c r="A62" s="244">
        <v>5</v>
      </c>
      <c r="B62" s="18" t="s">
        <v>201</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2"/>
    </row>
    <row r="63" spans="1:21" s="27" customFormat="1" ht="11.25" hidden="1">
      <c r="A63" s="244"/>
      <c r="B63" s="21" t="s">
        <v>84</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165</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4"/>
      <c r="B65" s="67" t="s">
        <v>202</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4"/>
      <c r="B66" s="69" t="s">
        <v>203</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4"/>
      <c r="B67" s="35" t="s">
        <v>169</v>
      </c>
      <c r="C67" s="70"/>
      <c r="D67" s="71">
        <v>0</v>
      </c>
      <c r="E67" s="24"/>
      <c r="F67" s="24"/>
      <c r="G67" s="24"/>
      <c r="H67" s="24"/>
      <c r="I67" s="24"/>
      <c r="J67" s="24"/>
      <c r="K67" s="24"/>
      <c r="L67" s="24"/>
      <c r="M67" s="24"/>
      <c r="N67" s="24"/>
      <c r="O67" s="24"/>
      <c r="P67" s="24"/>
      <c r="Q67" s="24"/>
      <c r="R67" s="24"/>
      <c r="S67" s="24"/>
      <c r="T67" s="22"/>
      <c r="U67" s="22"/>
    </row>
    <row r="68" spans="1:21" s="27" customFormat="1" ht="21">
      <c r="A68" s="244">
        <v>6</v>
      </c>
      <c r="B68" s="72" t="s">
        <v>204</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2"/>
    </row>
    <row r="69" spans="1:21" ht="11.25" hidden="1">
      <c r="A69" s="20"/>
      <c r="B69" s="21" t="s">
        <v>84</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165</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4"/>
      <c r="B71" s="75" t="s">
        <v>205</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4"/>
      <c r="B72" s="35" t="s">
        <v>169</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4">
        <v>7</v>
      </c>
      <c r="B73" s="18" t="s">
        <v>206</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2"/>
    </row>
    <row r="74" spans="1:21" s="27" customFormat="1" ht="11.25" hidden="1">
      <c r="A74" s="244"/>
      <c r="B74" s="21" t="s">
        <v>84</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176</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207</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169</v>
      </c>
      <c r="C77" s="36"/>
      <c r="D77" s="22">
        <v>0</v>
      </c>
      <c r="E77" s="24"/>
      <c r="F77" s="24"/>
      <c r="G77" s="24"/>
      <c r="H77" s="24"/>
      <c r="I77" s="24"/>
      <c r="J77" s="24"/>
      <c r="K77" s="24"/>
      <c r="L77" s="24"/>
      <c r="M77" s="24"/>
      <c r="N77" s="24"/>
      <c r="O77" s="24"/>
      <c r="P77" s="24"/>
      <c r="Q77" s="24"/>
      <c r="R77" s="24"/>
      <c r="S77" s="24"/>
      <c r="T77" s="22"/>
      <c r="U77" s="22"/>
    </row>
    <row r="78" spans="1:21" s="27" customFormat="1" ht="21">
      <c r="A78" s="244">
        <v>8</v>
      </c>
      <c r="B78" s="18" t="s">
        <v>208</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2"/>
    </row>
    <row r="79" spans="1:21" s="27" customFormat="1" ht="11.25" hidden="1">
      <c r="A79" s="244"/>
      <c r="B79" s="21" t="s">
        <v>84</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176</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209</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169</v>
      </c>
      <c r="C82" s="36"/>
      <c r="D82" s="22">
        <v>0</v>
      </c>
      <c r="E82" s="24"/>
      <c r="F82" s="24"/>
      <c r="G82" s="24"/>
      <c r="H82" s="24"/>
      <c r="I82" s="24"/>
      <c r="J82" s="24"/>
      <c r="K82" s="24"/>
      <c r="L82" s="24"/>
      <c r="M82" s="24"/>
      <c r="N82" s="24"/>
      <c r="O82" s="24"/>
      <c r="P82" s="24"/>
      <c r="Q82" s="24"/>
      <c r="R82" s="24"/>
      <c r="S82" s="24"/>
      <c r="T82" s="22"/>
      <c r="U82" s="22"/>
    </row>
    <row r="83" spans="1:21" s="27" customFormat="1" ht="21">
      <c r="A83" s="244">
        <v>9</v>
      </c>
      <c r="B83" s="79" t="s">
        <v>210</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2"/>
    </row>
    <row r="84" spans="1:21" s="27" customFormat="1" ht="11.25" hidden="1">
      <c r="A84" s="244"/>
      <c r="B84" s="21" t="s">
        <v>84</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176</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211</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169</v>
      </c>
      <c r="C87" s="36"/>
      <c r="D87" s="22">
        <v>0</v>
      </c>
      <c r="E87" s="24"/>
      <c r="F87" s="24"/>
      <c r="G87" s="24"/>
      <c r="H87" s="24"/>
      <c r="I87" s="24"/>
      <c r="J87" s="24"/>
      <c r="K87" s="24"/>
      <c r="L87" s="24"/>
      <c r="M87" s="24"/>
      <c r="N87" s="24"/>
      <c r="O87" s="24"/>
      <c r="P87" s="24"/>
      <c r="Q87" s="24"/>
      <c r="R87" s="24"/>
      <c r="S87" s="24"/>
      <c r="T87" s="22"/>
      <c r="U87" s="22"/>
    </row>
    <row r="88" spans="1:21" s="27" customFormat="1" ht="21">
      <c r="A88" s="244">
        <v>10</v>
      </c>
      <c r="B88" s="79" t="s">
        <v>212</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2"/>
    </row>
    <row r="89" spans="1:21" s="46" customFormat="1" ht="11.25" hidden="1">
      <c r="A89" s="37"/>
      <c r="B89" s="38" t="s">
        <v>176</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213</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4">
        <v>11</v>
      </c>
      <c r="B91" s="79" t="s">
        <v>214</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2"/>
    </row>
    <row r="92" spans="1:21" s="46" customFormat="1" ht="11.25" hidden="1">
      <c r="A92" s="37"/>
      <c r="B92" s="38" t="s">
        <v>176</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215</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4">
        <v>12</v>
      </c>
      <c r="B94" s="79" t="s">
        <v>216</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2"/>
    </row>
    <row r="95" spans="1:21" s="27" customFormat="1" ht="11.25" hidden="1">
      <c r="A95" s="244"/>
      <c r="B95" s="29" t="s">
        <v>176</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217</v>
      </c>
      <c r="C96" s="43">
        <v>7480401</v>
      </c>
      <c r="D96" s="44">
        <v>138.517</v>
      </c>
      <c r="E96" s="482">
        <v>138.517</v>
      </c>
      <c r="F96" s="24"/>
      <c r="G96" s="24"/>
      <c r="H96" s="24"/>
      <c r="I96" s="24"/>
      <c r="J96" s="24"/>
      <c r="K96" s="24"/>
      <c r="L96" s="24"/>
      <c r="M96" s="24"/>
      <c r="N96" s="24"/>
      <c r="O96" s="24"/>
      <c r="P96" s="24"/>
      <c r="Q96" s="24"/>
      <c r="R96" s="482">
        <v>138.517</v>
      </c>
      <c r="S96" s="24"/>
      <c r="T96" s="22"/>
      <c r="U96" s="22"/>
    </row>
    <row r="97" spans="1:21" s="27" customFormat="1" ht="21">
      <c r="A97" s="244">
        <v>13</v>
      </c>
      <c r="B97" s="79" t="s">
        <v>218</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2"/>
    </row>
    <row r="98" spans="1:21" s="46" customFormat="1" ht="11.25" hidden="1">
      <c r="A98" s="37"/>
      <c r="B98" s="29" t="s">
        <v>176</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219</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165</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219</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4">
        <v>14</v>
      </c>
      <c r="B102" s="79" t="s">
        <v>220</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2"/>
    </row>
    <row r="103" spans="1:21" s="46" customFormat="1" ht="18.75" customHeight="1" hidden="1">
      <c r="A103" s="37"/>
      <c r="B103" s="29" t="s">
        <v>176</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221</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4">
        <v>15</v>
      </c>
      <c r="B105" s="84" t="s">
        <v>222</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2"/>
    </row>
    <row r="106" spans="1:21" s="46" customFormat="1" ht="18.75" customHeight="1" hidden="1">
      <c r="A106" s="37"/>
      <c r="B106" s="85" t="s">
        <v>163</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223</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224</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4">
        <v>16</v>
      </c>
      <c r="B109" s="79" t="s">
        <v>225</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2"/>
    </row>
    <row r="110" spans="1:21" s="46" customFormat="1" ht="33.75" hidden="1">
      <c r="A110" s="37"/>
      <c r="B110" s="29" t="s">
        <v>161</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226</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165</v>
      </c>
      <c r="C112" s="28"/>
      <c r="D112" s="30">
        <v>10000</v>
      </c>
      <c r="E112" s="480">
        <v>15552.773681</v>
      </c>
      <c r="F112" s="480">
        <v>0</v>
      </c>
      <c r="G112" s="480">
        <v>0</v>
      </c>
      <c r="H112" s="480">
        <v>0</v>
      </c>
      <c r="I112" s="480">
        <v>0</v>
      </c>
      <c r="J112" s="480">
        <v>0</v>
      </c>
      <c r="K112" s="480">
        <v>0</v>
      </c>
      <c r="L112" s="480">
        <v>0</v>
      </c>
      <c r="M112" s="480">
        <v>0</v>
      </c>
      <c r="N112" s="480">
        <v>0</v>
      </c>
      <c r="O112" s="480">
        <v>15552.773681</v>
      </c>
      <c r="P112" s="480">
        <v>0</v>
      </c>
      <c r="Q112" s="480">
        <v>0</v>
      </c>
      <c r="R112" s="480">
        <v>0</v>
      </c>
      <c r="S112" s="480">
        <v>0</v>
      </c>
      <c r="T112" s="30">
        <v>0</v>
      </c>
      <c r="U112" s="39"/>
    </row>
    <row r="113" spans="1:21" ht="33.75" hidden="1">
      <c r="A113" s="20"/>
      <c r="B113" s="49" t="s">
        <v>227</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4">
        <v>17</v>
      </c>
      <c r="B114" s="79" t="s">
        <v>228</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2"/>
    </row>
    <row r="115" spans="1:21" s="46" customFormat="1" ht="11.25" hidden="1">
      <c r="A115" s="37"/>
      <c r="B115" s="29" t="s">
        <v>176</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229</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161</v>
      </c>
      <c r="C117" s="90"/>
      <c r="D117" s="30">
        <v>0</v>
      </c>
      <c r="E117" s="480">
        <v>5602.604</v>
      </c>
      <c r="F117" s="480">
        <v>0</v>
      </c>
      <c r="G117" s="480">
        <v>0</v>
      </c>
      <c r="H117" s="480">
        <v>0</v>
      </c>
      <c r="I117" s="480">
        <v>0</v>
      </c>
      <c r="J117" s="480">
        <v>0</v>
      </c>
      <c r="K117" s="480">
        <v>0</v>
      </c>
      <c r="L117" s="480">
        <v>0</v>
      </c>
      <c r="M117" s="480">
        <v>0</v>
      </c>
      <c r="N117" s="480">
        <v>0</v>
      </c>
      <c r="O117" s="480">
        <v>0</v>
      </c>
      <c r="P117" s="480">
        <v>0</v>
      </c>
      <c r="Q117" s="480">
        <v>0</v>
      </c>
      <c r="R117" s="480">
        <v>0</v>
      </c>
      <c r="S117" s="480">
        <v>5602.604</v>
      </c>
      <c r="T117" s="30">
        <v>0</v>
      </c>
      <c r="U117" s="39"/>
    </row>
    <row r="118" spans="1:21" ht="33.75" hidden="1">
      <c r="A118" s="20"/>
      <c r="B118" s="33" t="s">
        <v>230</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231</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4">
        <v>18</v>
      </c>
      <c r="B120" s="18" t="s">
        <v>232</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2"/>
    </row>
    <row r="121" spans="1:21" s="41" customFormat="1" ht="11.25">
      <c r="A121" s="91" t="s">
        <v>8</v>
      </c>
      <c r="B121" s="92" t="s">
        <v>84</v>
      </c>
      <c r="C121" s="92"/>
      <c r="D121" s="93">
        <v>66630</v>
      </c>
      <c r="E121" s="489">
        <v>73088.967</v>
      </c>
      <c r="F121" s="489">
        <v>0</v>
      </c>
      <c r="G121" s="489">
        <v>0</v>
      </c>
      <c r="H121" s="489">
        <v>0</v>
      </c>
      <c r="I121" s="489">
        <v>0</v>
      </c>
      <c r="J121" s="489">
        <v>0</v>
      </c>
      <c r="K121" s="489">
        <v>0</v>
      </c>
      <c r="L121" s="489">
        <v>0</v>
      </c>
      <c r="M121" s="489">
        <v>0</v>
      </c>
      <c r="N121" s="489">
        <v>0</v>
      </c>
      <c r="O121" s="489">
        <v>73088.967</v>
      </c>
      <c r="P121" s="489">
        <v>70048.967</v>
      </c>
      <c r="Q121" s="489">
        <v>0</v>
      </c>
      <c r="R121" s="489">
        <v>0</v>
      </c>
      <c r="S121" s="489">
        <v>0</v>
      </c>
      <c r="T121" s="93">
        <v>0</v>
      </c>
      <c r="U121" s="94"/>
    </row>
    <row r="122" spans="1:21" s="46" customFormat="1" ht="11.25" hidden="1">
      <c r="A122" s="37"/>
      <c r="B122" s="38" t="s">
        <v>176</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233</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234</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235</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236</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237</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238</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239</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240</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241</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242</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243</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162</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244</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245</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22"/>
      <c r="W136" s="522"/>
    </row>
    <row r="137" spans="1:21" s="46" customFormat="1" ht="11.25" hidden="1">
      <c r="A137" s="37"/>
      <c r="B137" s="38" t="s">
        <v>165</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246</v>
      </c>
      <c r="C138" s="47" t="s">
        <v>247</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248</v>
      </c>
      <c r="C139" s="47" t="s">
        <v>249</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250</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191</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251</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8</v>
      </c>
      <c r="B143" s="92" t="s">
        <v>169</v>
      </c>
      <c r="C143" s="92"/>
      <c r="D143" s="93">
        <v>30000</v>
      </c>
      <c r="E143" s="489">
        <v>3710</v>
      </c>
      <c r="F143" s="489">
        <v>0</v>
      </c>
      <c r="G143" s="489">
        <v>0</v>
      </c>
      <c r="H143" s="489">
        <v>0</v>
      </c>
      <c r="I143" s="489">
        <v>0</v>
      </c>
      <c r="J143" s="489">
        <v>0</v>
      </c>
      <c r="K143" s="489">
        <v>0</v>
      </c>
      <c r="L143" s="489">
        <v>0</v>
      </c>
      <c r="M143" s="489">
        <v>0</v>
      </c>
      <c r="N143" s="489">
        <v>0</v>
      </c>
      <c r="O143" s="489">
        <v>3710</v>
      </c>
      <c r="P143" s="489">
        <v>0</v>
      </c>
      <c r="Q143" s="489">
        <v>0</v>
      </c>
      <c r="R143" s="489">
        <v>0</v>
      </c>
      <c r="S143" s="489">
        <v>0</v>
      </c>
      <c r="T143" s="93">
        <v>0</v>
      </c>
      <c r="U143" s="94"/>
    </row>
    <row r="144" spans="1:21" ht="33.75" hidden="1">
      <c r="A144" s="20"/>
      <c r="B144" s="98" t="s">
        <v>252</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253</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254</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4">
        <v>19</v>
      </c>
      <c r="B147" s="18" t="s">
        <v>255</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2"/>
    </row>
    <row r="148" spans="1:21" s="41" customFormat="1" ht="11.25">
      <c r="A148" s="99"/>
      <c r="B148" s="92" t="s">
        <v>84</v>
      </c>
      <c r="C148" s="92"/>
      <c r="D148" s="93">
        <v>29686.000000000004</v>
      </c>
      <c r="E148" s="489">
        <v>28781.712090000005</v>
      </c>
      <c r="F148" s="489">
        <v>28781.712090000005</v>
      </c>
      <c r="G148" s="489">
        <v>0</v>
      </c>
      <c r="H148" s="489">
        <v>0</v>
      </c>
      <c r="I148" s="489">
        <v>0</v>
      </c>
      <c r="J148" s="489">
        <v>0</v>
      </c>
      <c r="K148" s="489">
        <v>0</v>
      </c>
      <c r="L148" s="489">
        <v>0</v>
      </c>
      <c r="M148" s="489">
        <v>0</v>
      </c>
      <c r="N148" s="489">
        <v>0</v>
      </c>
      <c r="O148" s="489">
        <v>0</v>
      </c>
      <c r="P148" s="489">
        <v>0</v>
      </c>
      <c r="Q148" s="489">
        <v>0</v>
      </c>
      <c r="R148" s="489">
        <v>0</v>
      </c>
      <c r="S148" s="489">
        <v>0</v>
      </c>
      <c r="T148" s="93">
        <v>0</v>
      </c>
      <c r="U148" s="94"/>
    </row>
    <row r="149" spans="1:21" s="46" customFormat="1" ht="11.25" hidden="1">
      <c r="A149" s="37"/>
      <c r="B149" s="38" t="s">
        <v>176</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256</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257</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258</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259</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260</v>
      </c>
      <c r="C154" s="100">
        <v>7624735</v>
      </c>
      <c r="D154" s="22">
        <v>5400</v>
      </c>
      <c r="E154" s="482">
        <v>5400</v>
      </c>
      <c r="F154" s="24">
        <v>5400</v>
      </c>
      <c r="G154" s="24"/>
      <c r="H154" s="24"/>
      <c r="I154" s="24"/>
      <c r="J154" s="24"/>
      <c r="K154" s="24"/>
      <c r="L154" s="24"/>
      <c r="M154" s="24"/>
      <c r="N154" s="24"/>
      <c r="O154" s="24"/>
      <c r="P154" s="24"/>
      <c r="Q154" s="24"/>
      <c r="R154" s="24"/>
      <c r="S154" s="24"/>
      <c r="T154" s="22"/>
      <c r="U154" s="22"/>
    </row>
    <row r="155" spans="1:21" ht="33.75" hidden="1">
      <c r="A155" s="20"/>
      <c r="B155" s="33" t="s">
        <v>261</v>
      </c>
      <c r="C155" s="101" t="s">
        <v>262</v>
      </c>
      <c r="D155" s="22">
        <v>1800</v>
      </c>
      <c r="E155" s="482">
        <v>1800</v>
      </c>
      <c r="F155" s="24">
        <v>1800</v>
      </c>
      <c r="G155" s="24"/>
      <c r="H155" s="24"/>
      <c r="I155" s="24"/>
      <c r="J155" s="24"/>
      <c r="K155" s="24"/>
      <c r="L155" s="24"/>
      <c r="M155" s="24"/>
      <c r="N155" s="24"/>
      <c r="O155" s="24"/>
      <c r="P155" s="24"/>
      <c r="Q155" s="24"/>
      <c r="R155" s="24"/>
      <c r="S155" s="24"/>
      <c r="T155" s="22"/>
      <c r="U155" s="22"/>
    </row>
    <row r="156" spans="1:21" ht="22.5" hidden="1">
      <c r="A156" s="20"/>
      <c r="B156" s="33" t="s">
        <v>263</v>
      </c>
      <c r="C156" s="101" t="s">
        <v>264</v>
      </c>
      <c r="D156" s="22">
        <v>1500</v>
      </c>
      <c r="E156" s="482">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265</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266</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267</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268</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269</v>
      </c>
      <c r="C161" s="100">
        <v>7564084</v>
      </c>
      <c r="D161" s="22">
        <v>430</v>
      </c>
      <c r="E161" s="482">
        <v>405</v>
      </c>
      <c r="F161" s="24">
        <v>405</v>
      </c>
      <c r="G161" s="24"/>
      <c r="H161" s="24"/>
      <c r="I161" s="24"/>
      <c r="J161" s="24"/>
      <c r="K161" s="24"/>
      <c r="L161" s="24"/>
      <c r="M161" s="24"/>
      <c r="N161" s="24"/>
      <c r="O161" s="24"/>
      <c r="P161" s="24"/>
      <c r="Q161" s="24"/>
      <c r="R161" s="24"/>
      <c r="S161" s="24"/>
      <c r="T161" s="22"/>
      <c r="U161" s="22"/>
    </row>
    <row r="162" spans="1:21" ht="11.25" hidden="1">
      <c r="A162" s="20"/>
      <c r="B162" s="33" t="s">
        <v>270</v>
      </c>
      <c r="C162" s="100">
        <v>7564092</v>
      </c>
      <c r="D162" s="22">
        <v>700</v>
      </c>
      <c r="E162" s="482">
        <v>700</v>
      </c>
      <c r="F162" s="24">
        <v>700</v>
      </c>
      <c r="G162" s="24"/>
      <c r="H162" s="24"/>
      <c r="I162" s="24"/>
      <c r="J162" s="24"/>
      <c r="K162" s="24"/>
      <c r="L162" s="24"/>
      <c r="M162" s="24"/>
      <c r="N162" s="24"/>
      <c r="O162" s="24"/>
      <c r="P162" s="24"/>
      <c r="Q162" s="24"/>
      <c r="R162" s="24"/>
      <c r="S162" s="24"/>
      <c r="T162" s="22"/>
      <c r="U162" s="22"/>
    </row>
    <row r="163" spans="1:21" ht="11.25" hidden="1">
      <c r="A163" s="20"/>
      <c r="B163" s="33" t="s">
        <v>271</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272</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162</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257</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259</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163</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261</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265</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268</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273</v>
      </c>
      <c r="C172" s="34">
        <v>7430511</v>
      </c>
      <c r="D172" s="22"/>
      <c r="E172" s="24">
        <v>974.495</v>
      </c>
      <c r="F172" s="24">
        <v>974.495</v>
      </c>
      <c r="G172" s="24"/>
      <c r="H172" s="24"/>
      <c r="I172" s="24"/>
      <c r="J172" s="24"/>
      <c r="K172" s="24"/>
      <c r="L172" s="24"/>
      <c r="M172" s="24"/>
      <c r="N172" s="24"/>
      <c r="O172" s="24"/>
      <c r="P172" s="24"/>
      <c r="Q172" s="24"/>
      <c r="R172" s="24"/>
      <c r="S172" s="24"/>
      <c r="T172" s="22"/>
      <c r="U172" s="22"/>
      <c r="V172" s="518"/>
      <c r="W172" s="518"/>
      <c r="X172" s="518"/>
    </row>
    <row r="173" spans="1:21" s="41" customFormat="1" ht="11.25">
      <c r="A173" s="99"/>
      <c r="B173" s="92" t="s">
        <v>169</v>
      </c>
      <c r="C173" s="92"/>
      <c r="D173" s="93">
        <v>0</v>
      </c>
      <c r="E173" s="489">
        <v>6223</v>
      </c>
      <c r="F173" s="489">
        <v>6223</v>
      </c>
      <c r="G173" s="489">
        <v>0</v>
      </c>
      <c r="H173" s="489">
        <v>0</v>
      </c>
      <c r="I173" s="489">
        <v>0</v>
      </c>
      <c r="J173" s="489">
        <v>0</v>
      </c>
      <c r="K173" s="489">
        <v>0</v>
      </c>
      <c r="L173" s="489">
        <v>0</v>
      </c>
      <c r="M173" s="489">
        <v>0</v>
      </c>
      <c r="N173" s="489">
        <v>0</v>
      </c>
      <c r="O173" s="489">
        <v>0</v>
      </c>
      <c r="P173" s="489">
        <v>0</v>
      </c>
      <c r="Q173" s="489">
        <v>0</v>
      </c>
      <c r="R173" s="489">
        <v>0</v>
      </c>
      <c r="S173" s="489">
        <v>0</v>
      </c>
      <c r="T173" s="93">
        <v>0</v>
      </c>
      <c r="U173" s="94"/>
    </row>
    <row r="174" spans="1:21" ht="11.25" hidden="1">
      <c r="A174" s="20"/>
      <c r="B174" s="33" t="s">
        <v>274</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269</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275</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271</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4">
        <v>20</v>
      </c>
      <c r="B178" s="18" t="s">
        <v>276</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2"/>
    </row>
    <row r="179" spans="1:21" s="41" customFormat="1" ht="11.25">
      <c r="A179" s="99"/>
      <c r="B179" s="92" t="s">
        <v>84</v>
      </c>
      <c r="C179" s="92"/>
      <c r="D179" s="93">
        <v>57687.087841</v>
      </c>
      <c r="E179" s="489">
        <v>91317.10878800001</v>
      </c>
      <c r="F179" s="489">
        <v>0</v>
      </c>
      <c r="G179" s="489">
        <v>0</v>
      </c>
      <c r="H179" s="489">
        <v>0</v>
      </c>
      <c r="I179" s="489">
        <v>0</v>
      </c>
      <c r="J179" s="489">
        <v>0</v>
      </c>
      <c r="K179" s="489">
        <v>0</v>
      </c>
      <c r="L179" s="489">
        <v>0</v>
      </c>
      <c r="M179" s="489">
        <v>0</v>
      </c>
      <c r="N179" s="489">
        <v>0</v>
      </c>
      <c r="O179" s="489">
        <v>66428.129788</v>
      </c>
      <c r="P179" s="489">
        <v>0</v>
      </c>
      <c r="Q179" s="489">
        <v>53876.63085700001</v>
      </c>
      <c r="R179" s="489">
        <v>24888.979</v>
      </c>
      <c r="S179" s="489">
        <v>0</v>
      </c>
      <c r="T179" s="93">
        <v>0</v>
      </c>
      <c r="U179" s="94"/>
    </row>
    <row r="180" spans="1:21" s="41" customFormat="1" ht="11.25" hidden="1">
      <c r="A180" s="37"/>
      <c r="B180" s="38" t="s">
        <v>176</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4"/>
      <c r="B181" s="33" t="s">
        <v>277</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4"/>
      <c r="B182" s="104" t="s">
        <v>278</v>
      </c>
      <c r="C182" s="105" t="s">
        <v>279</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4"/>
      <c r="B183" s="104" t="s">
        <v>280</v>
      </c>
      <c r="C183" s="105" t="s">
        <v>281</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4"/>
      <c r="B184" s="104" t="s">
        <v>282</v>
      </c>
      <c r="C184" s="105" t="s">
        <v>283</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4"/>
      <c r="B185" s="104" t="s">
        <v>284</v>
      </c>
      <c r="C185" s="105" t="s">
        <v>285</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4"/>
      <c r="B186" s="104" t="s">
        <v>286</v>
      </c>
      <c r="C186" s="105" t="s">
        <v>287</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4"/>
      <c r="B187" s="104" t="s">
        <v>288</v>
      </c>
      <c r="C187" s="105" t="s">
        <v>289</v>
      </c>
      <c r="D187" s="44">
        <v>688</v>
      </c>
      <c r="E187" s="482">
        <v>688</v>
      </c>
      <c r="F187" s="24"/>
      <c r="G187" s="24"/>
      <c r="H187" s="24"/>
      <c r="I187" s="24"/>
      <c r="J187" s="24"/>
      <c r="K187" s="24"/>
      <c r="L187" s="24"/>
      <c r="M187" s="24"/>
      <c r="N187" s="24"/>
      <c r="O187" s="482">
        <v>688</v>
      </c>
      <c r="P187" s="24"/>
      <c r="Q187" s="482">
        <v>688</v>
      </c>
      <c r="R187" s="24"/>
      <c r="S187" s="24"/>
      <c r="T187" s="22"/>
      <c r="U187" s="22"/>
    </row>
    <row r="188" spans="1:21" ht="22.5" hidden="1">
      <c r="A188" s="244"/>
      <c r="B188" s="104" t="s">
        <v>290</v>
      </c>
      <c r="C188" s="105" t="s">
        <v>291</v>
      </c>
      <c r="D188" s="44">
        <v>1000</v>
      </c>
      <c r="E188" s="482">
        <v>1000</v>
      </c>
      <c r="F188" s="24"/>
      <c r="G188" s="24"/>
      <c r="H188" s="24"/>
      <c r="I188" s="24"/>
      <c r="J188" s="24"/>
      <c r="K188" s="24"/>
      <c r="L188" s="24"/>
      <c r="M188" s="24"/>
      <c r="N188" s="24"/>
      <c r="O188" s="482">
        <v>1000</v>
      </c>
      <c r="P188" s="24"/>
      <c r="Q188" s="482">
        <v>1000</v>
      </c>
      <c r="R188" s="24"/>
      <c r="S188" s="24"/>
      <c r="T188" s="22"/>
      <c r="U188" s="22"/>
    </row>
    <row r="189" spans="1:21" ht="45" hidden="1">
      <c r="A189" s="244"/>
      <c r="B189" s="49" t="s">
        <v>292</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4"/>
      <c r="B190" s="45" t="s">
        <v>293</v>
      </c>
      <c r="C190" s="43">
        <v>7333632</v>
      </c>
      <c r="D190" s="44">
        <v>178.001</v>
      </c>
      <c r="E190" s="482">
        <v>178.001</v>
      </c>
      <c r="F190" s="24"/>
      <c r="G190" s="24"/>
      <c r="H190" s="24"/>
      <c r="I190" s="24"/>
      <c r="J190" s="24"/>
      <c r="K190" s="24"/>
      <c r="L190" s="24"/>
      <c r="M190" s="24"/>
      <c r="N190" s="24"/>
      <c r="O190" s="482">
        <v>178.001</v>
      </c>
      <c r="P190" s="24"/>
      <c r="Q190" s="482">
        <v>178.001</v>
      </c>
      <c r="R190" s="24"/>
      <c r="S190" s="24"/>
      <c r="T190" s="22"/>
      <c r="U190" s="22"/>
    </row>
    <row r="191" spans="1:21" ht="33.75" hidden="1">
      <c r="A191" s="244"/>
      <c r="B191" s="45" t="s">
        <v>294</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4"/>
      <c r="B192" s="45" t="s">
        <v>295</v>
      </c>
      <c r="C192" s="43">
        <v>7303454</v>
      </c>
      <c r="D192" s="44">
        <v>114.588</v>
      </c>
      <c r="E192" s="482">
        <v>114.588</v>
      </c>
      <c r="F192" s="24"/>
      <c r="G192" s="24"/>
      <c r="H192" s="24"/>
      <c r="I192" s="24"/>
      <c r="J192" s="24"/>
      <c r="K192" s="24"/>
      <c r="L192" s="24"/>
      <c r="M192" s="24"/>
      <c r="N192" s="24"/>
      <c r="O192" s="482">
        <v>114.588</v>
      </c>
      <c r="P192" s="24"/>
      <c r="Q192" s="482">
        <v>114.588</v>
      </c>
      <c r="R192" s="24"/>
      <c r="S192" s="24"/>
      <c r="T192" s="22"/>
      <c r="U192" s="22"/>
    </row>
    <row r="193" spans="1:21" ht="56.25" hidden="1">
      <c r="A193" s="244"/>
      <c r="B193" s="45" t="s">
        <v>296</v>
      </c>
      <c r="C193" s="43">
        <v>7500143</v>
      </c>
      <c r="D193" s="44">
        <v>389.97</v>
      </c>
      <c r="E193" s="482">
        <v>389.97</v>
      </c>
      <c r="F193" s="24"/>
      <c r="G193" s="24"/>
      <c r="H193" s="24"/>
      <c r="I193" s="24"/>
      <c r="J193" s="24"/>
      <c r="K193" s="24"/>
      <c r="L193" s="24"/>
      <c r="M193" s="24"/>
      <c r="N193" s="24"/>
      <c r="O193" s="482">
        <v>389.97</v>
      </c>
      <c r="P193" s="24"/>
      <c r="Q193" s="482">
        <v>389.97</v>
      </c>
      <c r="R193" s="24"/>
      <c r="S193" s="24"/>
      <c r="T193" s="22"/>
      <c r="U193" s="22"/>
    </row>
    <row r="194" spans="1:21" ht="22.5" hidden="1">
      <c r="A194" s="244"/>
      <c r="B194" s="45" t="s">
        <v>297</v>
      </c>
      <c r="C194" s="43">
        <v>7218170</v>
      </c>
      <c r="D194" s="44">
        <v>419.363</v>
      </c>
      <c r="E194" s="482">
        <v>409.189</v>
      </c>
      <c r="F194" s="24"/>
      <c r="G194" s="24"/>
      <c r="H194" s="24"/>
      <c r="I194" s="24"/>
      <c r="J194" s="24"/>
      <c r="K194" s="24"/>
      <c r="L194" s="24"/>
      <c r="M194" s="24"/>
      <c r="N194" s="24"/>
      <c r="O194" s="482">
        <v>409.189</v>
      </c>
      <c r="P194" s="24"/>
      <c r="Q194" s="24"/>
      <c r="R194" s="24"/>
      <c r="S194" s="24"/>
      <c r="T194" s="22"/>
      <c r="U194" s="22"/>
    </row>
    <row r="195" spans="1:21" ht="33.75" hidden="1">
      <c r="A195" s="244"/>
      <c r="B195" s="63" t="s">
        <v>298</v>
      </c>
      <c r="C195" s="34">
        <v>7133838</v>
      </c>
      <c r="D195" s="44">
        <v>3680.77391</v>
      </c>
      <c r="E195" s="482">
        <v>3680.77351</v>
      </c>
      <c r="F195" s="24"/>
      <c r="G195" s="24"/>
      <c r="H195" s="24"/>
      <c r="I195" s="24"/>
      <c r="J195" s="24"/>
      <c r="K195" s="24"/>
      <c r="L195" s="24"/>
      <c r="M195" s="24"/>
      <c r="N195" s="24"/>
      <c r="O195" s="482">
        <v>3680.77351</v>
      </c>
      <c r="P195" s="24"/>
      <c r="Q195" s="482">
        <v>3680.77351</v>
      </c>
      <c r="R195" s="24"/>
      <c r="S195" s="24"/>
      <c r="T195" s="22"/>
      <c r="U195" s="22"/>
    </row>
    <row r="196" spans="1:21" ht="33.75" hidden="1">
      <c r="A196" s="244"/>
      <c r="B196" s="49" t="s">
        <v>299</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4"/>
      <c r="B197" s="33" t="s">
        <v>300</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4"/>
      <c r="B198" s="49" t="s">
        <v>301</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4"/>
      <c r="B199" s="33" t="s">
        <v>302</v>
      </c>
      <c r="C199" s="34">
        <v>7009548</v>
      </c>
      <c r="D199" s="44">
        <v>368.028931</v>
      </c>
      <c r="E199" s="482">
        <v>368.028931</v>
      </c>
      <c r="F199" s="24"/>
      <c r="G199" s="24"/>
      <c r="H199" s="24"/>
      <c r="I199" s="24"/>
      <c r="J199" s="24"/>
      <c r="K199" s="24"/>
      <c r="L199" s="24"/>
      <c r="M199" s="24"/>
      <c r="N199" s="24"/>
      <c r="O199" s="482">
        <v>368.028931</v>
      </c>
      <c r="P199" s="24"/>
      <c r="Q199" s="24"/>
      <c r="R199" s="24"/>
      <c r="S199" s="24"/>
      <c r="T199" s="22"/>
      <c r="U199" s="22"/>
    </row>
    <row r="200" spans="1:21" ht="45" hidden="1">
      <c r="A200" s="244"/>
      <c r="B200" s="49" t="s">
        <v>303</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164</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4"/>
      <c r="B202" s="33" t="s">
        <v>304</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4"/>
      <c r="B203" s="33" t="s">
        <v>305</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306</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4"/>
      <c r="B205" s="33" t="s">
        <v>307</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165</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4"/>
      <c r="B207" s="48" t="s">
        <v>308</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4"/>
      <c r="B208" s="48" t="s">
        <v>309</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4"/>
      <c r="B209" s="49" t="s">
        <v>310</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4"/>
      <c r="B210" s="49" t="s">
        <v>311</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4"/>
      <c r="B211" s="106" t="s">
        <v>312</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4"/>
      <c r="B212" s="106" t="s">
        <v>313</v>
      </c>
      <c r="C212" s="105" t="s">
        <v>314</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4"/>
      <c r="B213" s="107" t="s">
        <v>315</v>
      </c>
      <c r="C213" s="108" t="s">
        <v>316</v>
      </c>
      <c r="D213" s="86">
        <v>1000</v>
      </c>
      <c r="E213" s="490">
        <v>422.182</v>
      </c>
      <c r="F213" s="24"/>
      <c r="G213" s="24"/>
      <c r="H213" s="24"/>
      <c r="I213" s="24"/>
      <c r="J213" s="24"/>
      <c r="K213" s="24"/>
      <c r="L213" s="24"/>
      <c r="M213" s="24"/>
      <c r="N213" s="24"/>
      <c r="O213" s="24">
        <v>422.182</v>
      </c>
      <c r="P213" s="24"/>
      <c r="Q213" s="24">
        <v>422.182</v>
      </c>
      <c r="R213" s="24"/>
      <c r="S213" s="24"/>
      <c r="T213" s="22"/>
      <c r="U213" s="22"/>
    </row>
    <row r="214" spans="1:21" ht="33.75" hidden="1">
      <c r="A214" s="244"/>
      <c r="B214" s="69" t="s">
        <v>317</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4"/>
      <c r="B215" s="69" t="s">
        <v>318</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4"/>
      <c r="B216" s="69" t="s">
        <v>319</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4"/>
      <c r="B217" s="69" t="s">
        <v>320</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4"/>
      <c r="B218" s="69" t="s">
        <v>321</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4"/>
      <c r="B219" s="69" t="s">
        <v>322</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4"/>
      <c r="B220" s="69" t="s">
        <v>323</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4"/>
      <c r="B221" s="69" t="s">
        <v>324</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4"/>
      <c r="B222" s="69" t="s">
        <v>325</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4"/>
      <c r="B223" s="78" t="s">
        <v>326</v>
      </c>
      <c r="C223" s="109" t="s">
        <v>327</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4"/>
      <c r="B224" s="33" t="s">
        <v>328</v>
      </c>
      <c r="C224" s="51" t="s">
        <v>329</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4"/>
      <c r="B225" s="33" t="s">
        <v>330</v>
      </c>
      <c r="C225" s="51" t="s">
        <v>331</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169</v>
      </c>
      <c r="C226" s="111"/>
      <c r="D226" s="112">
        <v>0</v>
      </c>
      <c r="E226" s="491">
        <v>5636.125</v>
      </c>
      <c r="F226" s="491">
        <v>0</v>
      </c>
      <c r="G226" s="491">
        <v>0</v>
      </c>
      <c r="H226" s="491">
        <v>0</v>
      </c>
      <c r="I226" s="491">
        <v>0</v>
      </c>
      <c r="J226" s="491">
        <v>0</v>
      </c>
      <c r="K226" s="491">
        <v>0</v>
      </c>
      <c r="L226" s="491">
        <v>0</v>
      </c>
      <c r="M226" s="491">
        <v>0</v>
      </c>
      <c r="N226" s="491">
        <v>0</v>
      </c>
      <c r="O226" s="491">
        <v>5636.125</v>
      </c>
      <c r="P226" s="491">
        <v>0</v>
      </c>
      <c r="Q226" s="491">
        <v>0</v>
      </c>
      <c r="R226" s="491">
        <v>0</v>
      </c>
      <c r="S226" s="491">
        <v>0</v>
      </c>
      <c r="T226" s="113">
        <v>0</v>
      </c>
      <c r="U226" s="94"/>
    </row>
    <row r="227" spans="1:21" ht="33.75" hidden="1">
      <c r="A227" s="244"/>
      <c r="B227" s="33" t="s">
        <v>332</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4">
        <v>21</v>
      </c>
      <c r="B228" s="18" t="s">
        <v>333</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2"/>
    </row>
    <row r="229" spans="1:21" s="41" customFormat="1" ht="11.25" hidden="1">
      <c r="A229" s="37"/>
      <c r="B229" s="38" t="s">
        <v>165</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4"/>
      <c r="B230" s="33" t="s">
        <v>334</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4">
        <v>22</v>
      </c>
      <c r="B231" s="18" t="s">
        <v>335</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2"/>
    </row>
    <row r="232" spans="1:21" s="41" customFormat="1" ht="11.25" hidden="1">
      <c r="A232" s="37"/>
      <c r="B232" s="38" t="s">
        <v>176</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4"/>
      <c r="B233" s="69" t="s">
        <v>336</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4"/>
      <c r="B234" s="69" t="s">
        <v>337</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4"/>
      <c r="B235" s="69" t="s">
        <v>338</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4"/>
      <c r="B236" s="69" t="s">
        <v>339</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4"/>
      <c r="B237" s="69" t="s">
        <v>340</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4"/>
      <c r="B238" s="69" t="s">
        <v>341</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4"/>
      <c r="B239" s="69" t="s">
        <v>342</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4">
        <v>23</v>
      </c>
      <c r="B240" s="18" t="s">
        <v>343</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8</v>
      </c>
      <c r="B241" s="92" t="s">
        <v>84</v>
      </c>
      <c r="C241" s="92"/>
      <c r="D241" s="93">
        <v>114954.879</v>
      </c>
      <c r="E241" s="489">
        <v>120520.862</v>
      </c>
      <c r="F241" s="489">
        <v>0</v>
      </c>
      <c r="G241" s="489">
        <v>0</v>
      </c>
      <c r="H241" s="489">
        <v>0</v>
      </c>
      <c r="I241" s="489">
        <v>0</v>
      </c>
      <c r="J241" s="489">
        <v>0</v>
      </c>
      <c r="K241" s="489">
        <v>0</v>
      </c>
      <c r="L241" s="489">
        <v>0</v>
      </c>
      <c r="M241" s="489">
        <v>0</v>
      </c>
      <c r="N241" s="489">
        <v>250</v>
      </c>
      <c r="O241" s="489">
        <v>59975.25</v>
      </c>
      <c r="P241" s="489">
        <v>0</v>
      </c>
      <c r="Q241" s="489">
        <v>0</v>
      </c>
      <c r="R241" s="489">
        <v>60295.612</v>
      </c>
      <c r="S241" s="489">
        <v>0</v>
      </c>
      <c r="T241" s="93">
        <v>0</v>
      </c>
      <c r="U241" s="93"/>
    </row>
    <row r="242" spans="1:21" s="46" customFormat="1" ht="11.25" hidden="1">
      <c r="A242" s="37"/>
      <c r="B242" s="38" t="s">
        <v>176</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344</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345</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346</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347</v>
      </c>
      <c r="C246" s="34">
        <v>7664429</v>
      </c>
      <c r="D246" s="22">
        <v>6400</v>
      </c>
      <c r="E246" s="482">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348</v>
      </c>
      <c r="C247" s="108" t="s">
        <v>349</v>
      </c>
      <c r="D247" s="86">
        <v>18865.723</v>
      </c>
      <c r="E247" s="492">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350</v>
      </c>
      <c r="C248" s="105" t="s">
        <v>351</v>
      </c>
      <c r="D248" s="71">
        <v>3000</v>
      </c>
      <c r="E248" s="493">
        <v>0</v>
      </c>
      <c r="F248" s="24"/>
      <c r="G248" s="24"/>
      <c r="H248" s="24"/>
      <c r="I248" s="24"/>
      <c r="J248" s="24"/>
      <c r="K248" s="24"/>
      <c r="L248" s="24"/>
      <c r="M248" s="24"/>
      <c r="N248" s="24"/>
      <c r="O248" s="24"/>
      <c r="P248" s="24"/>
      <c r="Q248" s="24"/>
      <c r="R248" s="24"/>
      <c r="S248" s="24"/>
      <c r="T248" s="22"/>
      <c r="U248" s="22"/>
    </row>
    <row r="249" spans="1:21" ht="22.5" hidden="1">
      <c r="A249" s="20"/>
      <c r="B249" s="96" t="s">
        <v>352</v>
      </c>
      <c r="C249" s="34">
        <v>7252845</v>
      </c>
      <c r="D249" s="44">
        <v>86.156</v>
      </c>
      <c r="E249" s="482">
        <v>86.156</v>
      </c>
      <c r="F249" s="24"/>
      <c r="G249" s="24"/>
      <c r="H249" s="24"/>
      <c r="I249" s="24"/>
      <c r="J249" s="24"/>
      <c r="K249" s="24"/>
      <c r="L249" s="24"/>
      <c r="M249" s="24"/>
      <c r="N249" s="24"/>
      <c r="O249" s="24"/>
      <c r="P249" s="24"/>
      <c r="Q249" s="24"/>
      <c r="R249" s="482">
        <v>86.156</v>
      </c>
      <c r="S249" s="24"/>
      <c r="T249" s="22"/>
      <c r="U249" s="22"/>
    </row>
    <row r="250" spans="1:21" ht="33.75" hidden="1">
      <c r="A250" s="20"/>
      <c r="B250" s="33" t="s">
        <v>353</v>
      </c>
      <c r="C250" s="51" t="s">
        <v>354</v>
      </c>
      <c r="D250" s="71"/>
      <c r="E250" s="493">
        <v>1564.91</v>
      </c>
      <c r="F250" s="24"/>
      <c r="G250" s="24"/>
      <c r="H250" s="24"/>
      <c r="I250" s="24"/>
      <c r="J250" s="24"/>
      <c r="K250" s="24"/>
      <c r="L250" s="24"/>
      <c r="M250" s="24"/>
      <c r="N250" s="24"/>
      <c r="O250" s="493">
        <v>1564.91</v>
      </c>
      <c r="P250" s="24"/>
      <c r="Q250" s="24"/>
      <c r="R250" s="24"/>
      <c r="S250" s="24"/>
      <c r="T250" s="22"/>
      <c r="U250" s="22"/>
    </row>
    <row r="251" spans="1:21" ht="22.5" hidden="1">
      <c r="A251" s="20"/>
      <c r="B251" s="33" t="s">
        <v>355</v>
      </c>
      <c r="C251" s="34">
        <v>7486027</v>
      </c>
      <c r="D251" s="71"/>
      <c r="E251" s="493">
        <v>3832.46</v>
      </c>
      <c r="F251" s="24"/>
      <c r="G251" s="24"/>
      <c r="H251" s="24"/>
      <c r="I251" s="24"/>
      <c r="J251" s="24"/>
      <c r="K251" s="24"/>
      <c r="L251" s="24"/>
      <c r="M251" s="24"/>
      <c r="N251" s="24"/>
      <c r="O251" s="24"/>
      <c r="P251" s="24"/>
      <c r="Q251" s="24"/>
      <c r="R251" s="493">
        <v>3832.46</v>
      </c>
      <c r="S251" s="24"/>
      <c r="T251" s="22"/>
      <c r="U251" s="22"/>
    </row>
    <row r="252" spans="1:21" s="46" customFormat="1" ht="22.5" hidden="1">
      <c r="A252" s="37"/>
      <c r="B252" s="115" t="s">
        <v>164</v>
      </c>
      <c r="C252" s="116"/>
      <c r="D252" s="30">
        <v>0</v>
      </c>
      <c r="E252" s="480">
        <v>26374.401</v>
      </c>
      <c r="F252" s="480">
        <v>0</v>
      </c>
      <c r="G252" s="480">
        <v>0</v>
      </c>
      <c r="H252" s="480">
        <v>0</v>
      </c>
      <c r="I252" s="480">
        <v>0</v>
      </c>
      <c r="J252" s="480">
        <v>0</v>
      </c>
      <c r="K252" s="480">
        <v>0</v>
      </c>
      <c r="L252" s="480">
        <v>0</v>
      </c>
      <c r="M252" s="480">
        <v>0</v>
      </c>
      <c r="N252" s="480">
        <v>0</v>
      </c>
      <c r="O252" s="480">
        <v>0</v>
      </c>
      <c r="P252" s="480">
        <v>0</v>
      </c>
      <c r="Q252" s="480">
        <v>0</v>
      </c>
      <c r="R252" s="480">
        <v>26374.401</v>
      </c>
      <c r="S252" s="480">
        <v>0</v>
      </c>
      <c r="T252" s="30">
        <v>0</v>
      </c>
      <c r="U252" s="39"/>
    </row>
    <row r="253" spans="1:21" ht="22.5" hidden="1">
      <c r="A253" s="20"/>
      <c r="B253" s="33" t="s">
        <v>356</v>
      </c>
      <c r="C253" s="34">
        <v>7486027</v>
      </c>
      <c r="D253" s="71"/>
      <c r="E253" s="493">
        <v>26374.401</v>
      </c>
      <c r="F253" s="24"/>
      <c r="G253" s="24"/>
      <c r="H253" s="24"/>
      <c r="I253" s="24"/>
      <c r="J253" s="24"/>
      <c r="K253" s="24"/>
      <c r="L253" s="24"/>
      <c r="M253" s="24"/>
      <c r="N253" s="24"/>
      <c r="O253" s="24"/>
      <c r="P253" s="24"/>
      <c r="Q253" s="24"/>
      <c r="R253" s="493">
        <v>26374.401</v>
      </c>
      <c r="S253" s="24"/>
      <c r="T253" s="22"/>
      <c r="U253" s="22"/>
    </row>
    <row r="254" spans="1:21" s="46" customFormat="1" ht="11.25" hidden="1">
      <c r="A254" s="37"/>
      <c r="B254" s="115" t="s">
        <v>165</v>
      </c>
      <c r="C254" s="116"/>
      <c r="D254" s="30">
        <v>86153</v>
      </c>
      <c r="E254" s="480">
        <v>62494.557</v>
      </c>
      <c r="F254" s="480">
        <v>0</v>
      </c>
      <c r="G254" s="480">
        <v>0</v>
      </c>
      <c r="H254" s="480">
        <v>0</v>
      </c>
      <c r="I254" s="480">
        <v>0</v>
      </c>
      <c r="J254" s="480">
        <v>0</v>
      </c>
      <c r="K254" s="480">
        <v>0</v>
      </c>
      <c r="L254" s="480">
        <v>0</v>
      </c>
      <c r="M254" s="480">
        <v>0</v>
      </c>
      <c r="N254" s="480">
        <v>0</v>
      </c>
      <c r="O254" s="480">
        <v>32691.962</v>
      </c>
      <c r="P254" s="480">
        <v>0</v>
      </c>
      <c r="Q254" s="480">
        <v>0</v>
      </c>
      <c r="R254" s="480">
        <v>29802.595</v>
      </c>
      <c r="S254" s="480">
        <v>0</v>
      </c>
      <c r="T254" s="30">
        <v>0</v>
      </c>
      <c r="U254" s="39"/>
    </row>
    <row r="255" spans="1:21" ht="22.5" hidden="1">
      <c r="A255" s="20"/>
      <c r="B255" s="75" t="s">
        <v>357</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347</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358</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169</v>
      </c>
      <c r="C258" s="119"/>
      <c r="D258" s="113">
        <v>553050</v>
      </c>
      <c r="E258" s="491">
        <v>448193.21394399996</v>
      </c>
      <c r="F258" s="491">
        <v>0</v>
      </c>
      <c r="G258" s="491">
        <v>0</v>
      </c>
      <c r="H258" s="491">
        <v>0</v>
      </c>
      <c r="I258" s="491">
        <v>0</v>
      </c>
      <c r="J258" s="491">
        <v>0</v>
      </c>
      <c r="K258" s="491">
        <v>0</v>
      </c>
      <c r="L258" s="491">
        <v>0</v>
      </c>
      <c r="M258" s="491">
        <v>0</v>
      </c>
      <c r="N258" s="491">
        <v>0</v>
      </c>
      <c r="O258" s="491">
        <v>446191.217944</v>
      </c>
      <c r="P258" s="491">
        <v>0</v>
      </c>
      <c r="Q258" s="491">
        <v>0</v>
      </c>
      <c r="R258" s="491">
        <v>2001.996</v>
      </c>
      <c r="S258" s="491">
        <v>0</v>
      </c>
      <c r="T258" s="113">
        <v>0</v>
      </c>
      <c r="U258" s="93"/>
    </row>
    <row r="259" spans="1:21" ht="33.75" hidden="1">
      <c r="A259" s="20"/>
      <c r="B259" s="75" t="s">
        <v>347</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358</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4">
        <v>24</v>
      </c>
      <c r="B261" s="18" t="s">
        <v>359</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176</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360</v>
      </c>
      <c r="C263" s="121">
        <v>7227812</v>
      </c>
      <c r="D263" s="44">
        <v>6251.588</v>
      </c>
      <c r="E263" s="482">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361</v>
      </c>
      <c r="C264" s="122">
        <v>7608901</v>
      </c>
      <c r="D264" s="44">
        <v>1500</v>
      </c>
      <c r="E264" s="482">
        <v>600</v>
      </c>
      <c r="F264" s="24"/>
      <c r="G264" s="24">
        <v>600</v>
      </c>
      <c r="H264" s="24"/>
      <c r="I264" s="24"/>
      <c r="J264" s="24"/>
      <c r="K264" s="24"/>
      <c r="L264" s="24"/>
      <c r="M264" s="24"/>
      <c r="N264" s="24"/>
      <c r="O264" s="24"/>
      <c r="P264" s="24"/>
      <c r="Q264" s="24"/>
      <c r="R264" s="24"/>
      <c r="S264" s="24"/>
      <c r="T264" s="22"/>
      <c r="U264" s="22"/>
    </row>
    <row r="265" spans="1:21" ht="67.5" hidden="1">
      <c r="A265" s="20"/>
      <c r="B265" s="120" t="s">
        <v>362</v>
      </c>
      <c r="C265" s="88">
        <v>7608900</v>
      </c>
      <c r="D265" s="44">
        <v>4958.412</v>
      </c>
      <c r="E265" s="482">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363</v>
      </c>
      <c r="C266" s="88">
        <v>7616590</v>
      </c>
      <c r="D266" s="44">
        <v>800</v>
      </c>
      <c r="E266" s="482">
        <v>788</v>
      </c>
      <c r="F266" s="24"/>
      <c r="G266" s="24">
        <v>788</v>
      </c>
      <c r="H266" s="24"/>
      <c r="I266" s="24"/>
      <c r="J266" s="24"/>
      <c r="K266" s="24"/>
      <c r="L266" s="24"/>
      <c r="M266" s="24"/>
      <c r="N266" s="24"/>
      <c r="O266" s="24"/>
      <c r="P266" s="24"/>
      <c r="Q266" s="24"/>
      <c r="R266" s="24"/>
      <c r="S266" s="24"/>
      <c r="T266" s="22"/>
      <c r="U266" s="22"/>
    </row>
    <row r="267" spans="1:21" ht="45" hidden="1">
      <c r="A267" s="20"/>
      <c r="B267" s="120" t="s">
        <v>364</v>
      </c>
      <c r="C267" s="88">
        <v>7616591</v>
      </c>
      <c r="D267" s="44">
        <v>1000</v>
      </c>
      <c r="E267" s="482">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162</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365</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361</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4">
        <v>25</v>
      </c>
      <c r="B271" s="18" t="s">
        <v>366</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176</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367</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368</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369</v>
      </c>
      <c r="C275" s="105">
        <v>7515548</v>
      </c>
      <c r="D275" s="44">
        <v>1126.628</v>
      </c>
      <c r="E275" s="482">
        <v>1126.628</v>
      </c>
      <c r="F275" s="24"/>
      <c r="G275" s="24"/>
      <c r="H275" s="24"/>
      <c r="I275" s="24"/>
      <c r="J275" s="24"/>
      <c r="K275" s="482"/>
      <c r="L275" s="24"/>
      <c r="M275" s="24"/>
      <c r="N275" s="24"/>
      <c r="O275" s="482">
        <v>1126.628</v>
      </c>
      <c r="P275" s="24"/>
      <c r="Q275" s="24"/>
      <c r="R275" s="24"/>
      <c r="S275" s="24"/>
      <c r="T275" s="22"/>
      <c r="U275" s="22"/>
    </row>
    <row r="276" spans="1:21" ht="21">
      <c r="A276" s="244">
        <v>26</v>
      </c>
      <c r="B276" s="18" t="s">
        <v>370</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84</v>
      </c>
      <c r="C277" s="92"/>
      <c r="D277" s="93">
        <v>97489.08600000001</v>
      </c>
      <c r="E277" s="489">
        <v>133821.956289</v>
      </c>
      <c r="F277" s="489">
        <v>0</v>
      </c>
      <c r="G277" s="489">
        <v>0</v>
      </c>
      <c r="H277" s="489">
        <v>0</v>
      </c>
      <c r="I277" s="489">
        <v>0</v>
      </c>
      <c r="J277" s="489">
        <v>0</v>
      </c>
      <c r="K277" s="489">
        <v>22519.742</v>
      </c>
      <c r="L277" s="489">
        <v>0</v>
      </c>
      <c r="M277" s="489">
        <v>0</v>
      </c>
      <c r="N277" s="489">
        <v>0</v>
      </c>
      <c r="O277" s="489">
        <v>111302.214289</v>
      </c>
      <c r="P277" s="489">
        <v>17397.279</v>
      </c>
      <c r="Q277" s="489">
        <v>1107</v>
      </c>
      <c r="R277" s="489">
        <v>0</v>
      </c>
      <c r="S277" s="489">
        <v>0</v>
      </c>
      <c r="T277" s="93">
        <v>0</v>
      </c>
      <c r="U277" s="93"/>
    </row>
    <row r="278" spans="1:21" s="41" customFormat="1" ht="11.25" hidden="1">
      <c r="A278" s="37"/>
      <c r="B278" s="38" t="s">
        <v>176</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371</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372</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373</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374</v>
      </c>
      <c r="C282" s="43">
        <v>7368611</v>
      </c>
      <c r="D282" s="44">
        <v>77.286</v>
      </c>
      <c r="E282" s="482">
        <v>77.286</v>
      </c>
      <c r="F282" s="24"/>
      <c r="G282" s="24"/>
      <c r="H282" s="24"/>
      <c r="I282" s="24"/>
      <c r="J282" s="24"/>
      <c r="K282" s="24"/>
      <c r="L282" s="24"/>
      <c r="M282" s="24"/>
      <c r="N282" s="24"/>
      <c r="O282" s="482">
        <v>77.286</v>
      </c>
      <c r="P282" s="482">
        <v>77.286</v>
      </c>
      <c r="Q282" s="24"/>
      <c r="R282" s="24"/>
      <c r="S282" s="24"/>
      <c r="T282" s="22"/>
      <c r="U282" s="22"/>
    </row>
    <row r="283" spans="1:21" s="27" customFormat="1" ht="22.5" hidden="1">
      <c r="A283" s="244"/>
      <c r="B283" s="33" t="s">
        <v>375</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376</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78"/>
    </row>
    <row r="285" spans="1:22" s="46" customFormat="1" ht="48.75" customHeight="1" hidden="1">
      <c r="A285" s="37"/>
      <c r="B285" s="126" t="s">
        <v>161</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377</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162</v>
      </c>
      <c r="C287" s="129"/>
      <c r="D287" s="30">
        <v>91782.8</v>
      </c>
      <c r="E287" s="480">
        <v>90628.584</v>
      </c>
      <c r="F287" s="480">
        <v>0</v>
      </c>
      <c r="G287" s="480">
        <v>0</v>
      </c>
      <c r="H287" s="480">
        <v>0</v>
      </c>
      <c r="I287" s="480">
        <v>0</v>
      </c>
      <c r="J287" s="480">
        <v>0</v>
      </c>
      <c r="K287" s="480">
        <v>22519.742</v>
      </c>
      <c r="L287" s="480">
        <v>0</v>
      </c>
      <c r="M287" s="480">
        <v>0</v>
      </c>
      <c r="N287" s="480">
        <v>0</v>
      </c>
      <c r="O287" s="480">
        <v>68108.842</v>
      </c>
      <c r="P287" s="480">
        <v>15012.914999999999</v>
      </c>
      <c r="Q287" s="480">
        <v>0</v>
      </c>
      <c r="R287" s="480">
        <v>0</v>
      </c>
      <c r="S287" s="480">
        <v>0</v>
      </c>
      <c r="T287" s="30">
        <v>0</v>
      </c>
      <c r="U287" s="39"/>
    </row>
    <row r="288" spans="1:21" ht="33.75" hidden="1">
      <c r="A288" s="20"/>
      <c r="B288" s="49" t="s">
        <v>378</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372</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379</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380</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78"/>
    </row>
    <row r="292" spans="1:21" ht="33.75" hidden="1">
      <c r="A292" s="20"/>
      <c r="B292" s="102" t="s">
        <v>381</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382</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78"/>
    </row>
    <row r="294" spans="1:21" ht="33.75" hidden="1">
      <c r="A294" s="20"/>
      <c r="B294" s="49" t="s">
        <v>383</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384</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19"/>
      <c r="W295" s="519"/>
      <c r="X295" s="519"/>
    </row>
    <row r="296" spans="1:21" ht="33.75" hidden="1">
      <c r="A296" s="20"/>
      <c r="B296" s="49" t="s">
        <v>385</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386</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168</v>
      </c>
      <c r="C298" s="129"/>
      <c r="D298" s="30">
        <v>0</v>
      </c>
      <c r="E298" s="480">
        <v>30826.796</v>
      </c>
      <c r="F298" s="480">
        <v>0</v>
      </c>
      <c r="G298" s="480">
        <v>0</v>
      </c>
      <c r="H298" s="480">
        <v>0</v>
      </c>
      <c r="I298" s="480">
        <v>0</v>
      </c>
      <c r="J298" s="480">
        <v>0</v>
      </c>
      <c r="K298" s="480">
        <v>0</v>
      </c>
      <c r="L298" s="480">
        <v>0</v>
      </c>
      <c r="M298" s="480">
        <v>0</v>
      </c>
      <c r="N298" s="480">
        <v>0</v>
      </c>
      <c r="O298" s="480">
        <v>30826.796</v>
      </c>
      <c r="P298" s="480">
        <v>0</v>
      </c>
      <c r="Q298" s="480">
        <v>0</v>
      </c>
      <c r="R298" s="480">
        <v>0</v>
      </c>
      <c r="S298" s="480">
        <v>0</v>
      </c>
      <c r="T298" s="30">
        <v>0</v>
      </c>
      <c r="U298" s="39"/>
    </row>
    <row r="299" spans="1:21" ht="22.5" hidden="1">
      <c r="A299" s="20"/>
      <c r="B299" s="33" t="s">
        <v>387</v>
      </c>
      <c r="C299" s="51" t="s">
        <v>388</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164</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389</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169</v>
      </c>
      <c r="C302" s="92"/>
      <c r="D302" s="93">
        <v>0</v>
      </c>
      <c r="E302" s="489">
        <v>575.949</v>
      </c>
      <c r="F302" s="489">
        <v>0</v>
      </c>
      <c r="G302" s="489">
        <v>0</v>
      </c>
      <c r="H302" s="489">
        <v>0</v>
      </c>
      <c r="I302" s="489">
        <v>0</v>
      </c>
      <c r="J302" s="489">
        <v>0</v>
      </c>
      <c r="K302" s="489">
        <v>0</v>
      </c>
      <c r="L302" s="489">
        <v>0</v>
      </c>
      <c r="M302" s="489">
        <v>0</v>
      </c>
      <c r="N302" s="489">
        <v>0</v>
      </c>
      <c r="O302" s="489">
        <v>575.949</v>
      </c>
      <c r="P302" s="489">
        <v>0</v>
      </c>
      <c r="Q302" s="489">
        <v>0</v>
      </c>
      <c r="R302" s="489">
        <v>0</v>
      </c>
      <c r="S302" s="489">
        <v>0</v>
      </c>
      <c r="T302" s="93">
        <v>0</v>
      </c>
      <c r="U302" s="93"/>
    </row>
    <row r="303" spans="1:21" ht="67.5" hidden="1">
      <c r="A303" s="20"/>
      <c r="B303" s="33" t="s">
        <v>390</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4">
        <v>27</v>
      </c>
      <c r="B304" s="18" t="s">
        <v>391</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161</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392</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393</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4">
        <v>28</v>
      </c>
      <c r="B308" s="18" t="s">
        <v>394</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176</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395</v>
      </c>
      <c r="C310" s="108" t="s">
        <v>396</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4">
        <v>29</v>
      </c>
      <c r="B311" s="72" t="s">
        <v>397</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176</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398</v>
      </c>
      <c r="C313" s="34">
        <v>7360509</v>
      </c>
      <c r="D313" s="44">
        <v>52.763</v>
      </c>
      <c r="E313" s="482">
        <v>52.763</v>
      </c>
      <c r="F313" s="24"/>
      <c r="G313" s="24"/>
      <c r="H313" s="24"/>
      <c r="I313" s="24"/>
      <c r="J313" s="24"/>
      <c r="K313" s="482">
        <v>52.763</v>
      </c>
      <c r="L313" s="24"/>
      <c r="M313" s="24"/>
      <c r="N313" s="24"/>
      <c r="O313" s="24"/>
      <c r="P313" s="24"/>
      <c r="Q313" s="24"/>
      <c r="R313" s="24"/>
      <c r="S313" s="24"/>
      <c r="T313" s="22"/>
      <c r="U313" s="22"/>
    </row>
    <row r="314" spans="1:21" ht="33.75" hidden="1">
      <c r="A314" s="20"/>
      <c r="B314" s="33" t="s">
        <v>399</v>
      </c>
      <c r="C314" s="34">
        <v>7327878</v>
      </c>
      <c r="D314" s="22">
        <v>1107.979</v>
      </c>
      <c r="E314" s="482">
        <v>1107.979</v>
      </c>
      <c r="F314" s="24"/>
      <c r="G314" s="24"/>
      <c r="H314" s="24"/>
      <c r="I314" s="24"/>
      <c r="J314" s="24"/>
      <c r="K314" s="482">
        <v>1107.979</v>
      </c>
      <c r="L314" s="24"/>
      <c r="M314" s="24"/>
      <c r="N314" s="24"/>
      <c r="O314" s="24"/>
      <c r="P314" s="24"/>
      <c r="Q314" s="24"/>
      <c r="R314" s="24"/>
      <c r="S314" s="24"/>
      <c r="T314" s="22"/>
      <c r="U314" s="22"/>
    </row>
    <row r="315" spans="1:21" ht="33.75" hidden="1">
      <c r="A315" s="20"/>
      <c r="B315" s="33" t="s">
        <v>400</v>
      </c>
      <c r="C315" s="34">
        <v>7611335</v>
      </c>
      <c r="D315" s="44">
        <v>31.995</v>
      </c>
      <c r="E315" s="482">
        <v>31.995</v>
      </c>
      <c r="F315" s="24"/>
      <c r="G315" s="24"/>
      <c r="H315" s="24"/>
      <c r="I315" s="24"/>
      <c r="J315" s="24"/>
      <c r="K315" s="482">
        <v>31.995</v>
      </c>
      <c r="L315" s="24"/>
      <c r="M315" s="24"/>
      <c r="N315" s="24"/>
      <c r="O315" s="24"/>
      <c r="P315" s="24"/>
      <c r="Q315" s="24"/>
      <c r="R315" s="24"/>
      <c r="S315" s="24"/>
      <c r="T315" s="22"/>
      <c r="U315" s="22"/>
    </row>
    <row r="316" spans="1:21" ht="67.5" hidden="1">
      <c r="A316" s="20"/>
      <c r="B316" s="49" t="s">
        <v>401</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402</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163</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403</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404</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165</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405</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406</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4">
        <v>30</v>
      </c>
      <c r="B324" s="18" t="s">
        <v>407</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8</v>
      </c>
      <c r="B325" s="92" t="s">
        <v>84</v>
      </c>
      <c r="C325" s="92"/>
      <c r="D325" s="93">
        <v>28925.379</v>
      </c>
      <c r="E325" s="489">
        <v>19842.303841</v>
      </c>
      <c r="F325" s="489">
        <v>0</v>
      </c>
      <c r="G325" s="489">
        <v>0</v>
      </c>
      <c r="H325" s="489">
        <v>0</v>
      </c>
      <c r="I325" s="489">
        <v>0</v>
      </c>
      <c r="J325" s="489">
        <v>19842.303841</v>
      </c>
      <c r="K325" s="489">
        <v>0</v>
      </c>
      <c r="L325" s="489">
        <v>0</v>
      </c>
      <c r="M325" s="489">
        <v>0</v>
      </c>
      <c r="N325" s="489">
        <v>0</v>
      </c>
      <c r="O325" s="489">
        <v>0</v>
      </c>
      <c r="P325" s="489">
        <v>0</v>
      </c>
      <c r="Q325" s="489">
        <v>0</v>
      </c>
      <c r="R325" s="489">
        <v>0</v>
      </c>
      <c r="S325" s="489">
        <v>0</v>
      </c>
      <c r="T325" s="93">
        <v>0</v>
      </c>
      <c r="U325" s="93"/>
    </row>
    <row r="326" spans="1:21" s="46" customFormat="1" ht="11.25" hidden="1">
      <c r="A326" s="37"/>
      <c r="B326" s="38" t="s">
        <v>176</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408</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409</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410</v>
      </c>
      <c r="C329" s="105" t="s">
        <v>411</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163</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412</v>
      </c>
      <c r="C331" s="34">
        <v>7269400</v>
      </c>
      <c r="D331" s="44">
        <v>800</v>
      </c>
      <c r="E331" s="482">
        <v>792.636744</v>
      </c>
      <c r="F331" s="61"/>
      <c r="G331" s="61"/>
      <c r="H331" s="61"/>
      <c r="I331" s="61"/>
      <c r="J331" s="482">
        <v>792.636744</v>
      </c>
      <c r="K331" s="61"/>
      <c r="L331" s="61"/>
      <c r="M331" s="61"/>
      <c r="N331" s="61"/>
      <c r="O331" s="61"/>
      <c r="P331" s="61"/>
      <c r="Q331" s="61"/>
      <c r="R331" s="61"/>
      <c r="S331" s="61"/>
      <c r="T331" s="39"/>
      <c r="U331" s="39"/>
    </row>
    <row r="332" spans="1:21" s="46" customFormat="1" ht="22.5" hidden="1">
      <c r="A332" s="37"/>
      <c r="B332" s="104" t="s">
        <v>408</v>
      </c>
      <c r="C332" s="138">
        <v>7501842</v>
      </c>
      <c r="D332" s="44">
        <v>3200</v>
      </c>
      <c r="E332" s="482">
        <v>3050.51</v>
      </c>
      <c r="F332" s="61"/>
      <c r="G332" s="61"/>
      <c r="H332" s="61"/>
      <c r="I332" s="61"/>
      <c r="J332" s="482">
        <v>3050.51</v>
      </c>
      <c r="K332" s="61"/>
      <c r="L332" s="61"/>
      <c r="M332" s="61"/>
      <c r="N332" s="61"/>
      <c r="O332" s="61"/>
      <c r="P332" s="61"/>
      <c r="Q332" s="61"/>
      <c r="R332" s="61"/>
      <c r="S332" s="61"/>
      <c r="T332" s="39"/>
      <c r="U332" s="39"/>
    </row>
    <row r="333" spans="1:21" s="46" customFormat="1" ht="11.25" hidden="1">
      <c r="A333" s="37"/>
      <c r="B333" s="137" t="s">
        <v>413</v>
      </c>
      <c r="C333" s="138">
        <v>7634116</v>
      </c>
      <c r="D333" s="44">
        <v>5000</v>
      </c>
      <c r="E333" s="482">
        <v>1050</v>
      </c>
      <c r="F333" s="61"/>
      <c r="G333" s="61"/>
      <c r="H333" s="61"/>
      <c r="I333" s="61"/>
      <c r="J333" s="482">
        <v>1050</v>
      </c>
      <c r="K333" s="61"/>
      <c r="L333" s="61"/>
      <c r="M333" s="61"/>
      <c r="N333" s="61"/>
      <c r="O333" s="61"/>
      <c r="P333" s="61"/>
      <c r="Q333" s="61"/>
      <c r="R333" s="61"/>
      <c r="S333" s="61"/>
      <c r="T333" s="39"/>
      <c r="U333" s="39"/>
    </row>
    <row r="334" spans="1:21" s="46" customFormat="1" ht="22.5" hidden="1">
      <c r="A334" s="37"/>
      <c r="B334" s="137" t="s">
        <v>414</v>
      </c>
      <c r="C334" s="138">
        <v>7627691</v>
      </c>
      <c r="D334" s="44">
        <v>3200</v>
      </c>
      <c r="E334" s="482">
        <v>2434.385</v>
      </c>
      <c r="F334" s="61"/>
      <c r="G334" s="61"/>
      <c r="H334" s="61"/>
      <c r="I334" s="61"/>
      <c r="J334" s="482">
        <v>2434.385</v>
      </c>
      <c r="K334" s="61"/>
      <c r="L334" s="61"/>
      <c r="M334" s="61"/>
      <c r="N334" s="61"/>
      <c r="O334" s="61"/>
      <c r="P334" s="61"/>
      <c r="Q334" s="61"/>
      <c r="R334" s="61"/>
      <c r="S334" s="61"/>
      <c r="T334" s="39"/>
      <c r="U334" s="39"/>
    </row>
    <row r="335" spans="1:21" s="46" customFormat="1" ht="22.5" hidden="1">
      <c r="A335" s="37"/>
      <c r="B335" s="139" t="s">
        <v>415</v>
      </c>
      <c r="C335" s="138">
        <v>7626677</v>
      </c>
      <c r="D335" s="44">
        <v>1500</v>
      </c>
      <c r="E335" s="482">
        <v>1345.033</v>
      </c>
      <c r="F335" s="61"/>
      <c r="G335" s="61"/>
      <c r="H335" s="61"/>
      <c r="I335" s="61"/>
      <c r="J335" s="482">
        <v>1345.033</v>
      </c>
      <c r="K335" s="61"/>
      <c r="L335" s="61"/>
      <c r="M335" s="61"/>
      <c r="N335" s="61"/>
      <c r="O335" s="61"/>
      <c r="P335" s="61"/>
      <c r="Q335" s="61"/>
      <c r="R335" s="61"/>
      <c r="S335" s="61"/>
      <c r="T335" s="39"/>
      <c r="U335" s="39"/>
    </row>
    <row r="336" spans="1:21" s="46" customFormat="1" ht="22.5" hidden="1">
      <c r="A336" s="37"/>
      <c r="B336" s="139" t="s">
        <v>416</v>
      </c>
      <c r="C336" s="138">
        <v>7623873</v>
      </c>
      <c r="D336" s="44">
        <v>1000</v>
      </c>
      <c r="E336" s="482">
        <v>1000</v>
      </c>
      <c r="F336" s="61"/>
      <c r="G336" s="61"/>
      <c r="H336" s="61"/>
      <c r="I336" s="61"/>
      <c r="J336" s="482">
        <v>1000</v>
      </c>
      <c r="K336" s="61"/>
      <c r="L336" s="61"/>
      <c r="M336" s="61"/>
      <c r="N336" s="61"/>
      <c r="O336" s="61"/>
      <c r="P336" s="61"/>
      <c r="Q336" s="61"/>
      <c r="R336" s="61"/>
      <c r="S336" s="61"/>
      <c r="T336" s="39"/>
      <c r="U336" s="39"/>
    </row>
    <row r="337" spans="1:22" s="46" customFormat="1" ht="33.75" customHeight="1" hidden="1">
      <c r="A337" s="37"/>
      <c r="B337" s="33" t="s">
        <v>417</v>
      </c>
      <c r="C337" s="34">
        <v>7546015</v>
      </c>
      <c r="D337" s="39"/>
      <c r="E337" s="24">
        <v>400</v>
      </c>
      <c r="F337" s="61"/>
      <c r="G337" s="61"/>
      <c r="H337" s="61"/>
      <c r="I337" s="61"/>
      <c r="J337" s="24">
        <v>400</v>
      </c>
      <c r="K337" s="61"/>
      <c r="L337" s="61"/>
      <c r="M337" s="61"/>
      <c r="N337" s="61"/>
      <c r="O337" s="61"/>
      <c r="P337" s="61"/>
      <c r="Q337" s="61"/>
      <c r="R337" s="61"/>
      <c r="S337" s="61"/>
      <c r="T337" s="39"/>
      <c r="U337" s="39"/>
      <c r="V337" s="478"/>
    </row>
    <row r="338" spans="1:22" s="46" customFormat="1" ht="22.5" customHeight="1" hidden="1">
      <c r="A338" s="37"/>
      <c r="B338" s="33" t="s">
        <v>418</v>
      </c>
      <c r="C338" s="34">
        <v>7400468</v>
      </c>
      <c r="D338" s="39"/>
      <c r="E338" s="24">
        <v>387.991</v>
      </c>
      <c r="F338" s="61"/>
      <c r="G338" s="61"/>
      <c r="H338" s="61"/>
      <c r="I338" s="61"/>
      <c r="J338" s="24">
        <v>387.991</v>
      </c>
      <c r="K338" s="61"/>
      <c r="L338" s="61"/>
      <c r="M338" s="61"/>
      <c r="N338" s="61"/>
      <c r="O338" s="61"/>
      <c r="P338" s="61"/>
      <c r="Q338" s="61"/>
      <c r="R338" s="61"/>
      <c r="S338" s="61"/>
      <c r="T338" s="39"/>
      <c r="U338" s="39"/>
      <c r="V338" s="478"/>
    </row>
    <row r="339" spans="1:22" ht="33.75" customHeight="1" hidden="1">
      <c r="A339" s="20"/>
      <c r="B339" s="33" t="s">
        <v>419</v>
      </c>
      <c r="C339" s="34">
        <v>7633313</v>
      </c>
      <c r="D339" s="22"/>
      <c r="E339" s="24">
        <v>150</v>
      </c>
      <c r="F339" s="24"/>
      <c r="G339" s="24"/>
      <c r="H339" s="24"/>
      <c r="I339" s="24"/>
      <c r="J339" s="24">
        <v>150</v>
      </c>
      <c r="K339" s="24"/>
      <c r="L339" s="24"/>
      <c r="M339" s="24"/>
      <c r="N339" s="24"/>
      <c r="O339" s="24"/>
      <c r="P339" s="24"/>
      <c r="Q339" s="24"/>
      <c r="R339" s="24"/>
      <c r="S339" s="24"/>
      <c r="T339" s="22"/>
      <c r="U339" s="22"/>
      <c r="V339" s="478"/>
    </row>
    <row r="340" spans="1:22" ht="22.5" customHeight="1" hidden="1">
      <c r="A340" s="20"/>
      <c r="B340" s="33" t="s">
        <v>420</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78"/>
    </row>
    <row r="341" spans="1:22" ht="33.75" hidden="1">
      <c r="A341" s="20"/>
      <c r="B341" s="78" t="s">
        <v>421</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3"/>
    </row>
    <row r="342" spans="1:22" s="46" customFormat="1" ht="11.25" hidden="1">
      <c r="A342" s="37"/>
      <c r="B342" s="29" t="s">
        <v>165</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422</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3"/>
    </row>
    <row r="344" spans="1:22" ht="33.75" hidden="1">
      <c r="A344" s="20"/>
      <c r="B344" s="140" t="s">
        <v>423</v>
      </c>
      <c r="C344" s="34">
        <v>7613180</v>
      </c>
      <c r="D344" s="22">
        <v>3823</v>
      </c>
      <c r="E344" s="24"/>
      <c r="F344" s="24"/>
      <c r="G344" s="24"/>
      <c r="H344" s="24"/>
      <c r="I344" s="24"/>
      <c r="J344" s="24"/>
      <c r="K344" s="24"/>
      <c r="L344" s="24"/>
      <c r="M344" s="24"/>
      <c r="N344" s="24"/>
      <c r="O344" s="24"/>
      <c r="P344" s="24"/>
      <c r="Q344" s="24"/>
      <c r="R344" s="24"/>
      <c r="S344" s="24"/>
      <c r="T344" s="22"/>
      <c r="U344" s="22"/>
      <c r="V344" s="243"/>
    </row>
    <row r="345" spans="1:22" ht="33.75" hidden="1">
      <c r="A345" s="20"/>
      <c r="B345" s="33" t="s">
        <v>424</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3"/>
    </row>
    <row r="346" spans="1:22" ht="22.5" hidden="1">
      <c r="A346" s="20"/>
      <c r="B346" s="33" t="s">
        <v>425</v>
      </c>
      <c r="C346" s="34">
        <v>7501842</v>
      </c>
      <c r="D346" s="22"/>
      <c r="E346" s="24">
        <v>615.915</v>
      </c>
      <c r="F346" s="24"/>
      <c r="G346" s="24"/>
      <c r="H346" s="24"/>
      <c r="I346" s="24"/>
      <c r="J346" s="24">
        <v>615.915</v>
      </c>
      <c r="K346" s="24"/>
      <c r="L346" s="24"/>
      <c r="M346" s="24"/>
      <c r="N346" s="24"/>
      <c r="O346" s="24"/>
      <c r="P346" s="24"/>
      <c r="Q346" s="24"/>
      <c r="R346" s="24"/>
      <c r="S346" s="24"/>
      <c r="T346" s="22"/>
      <c r="U346" s="22"/>
      <c r="V346" s="243"/>
    </row>
    <row r="347" spans="1:21" s="41" customFormat="1" ht="11.25">
      <c r="A347" s="91" t="s">
        <v>8</v>
      </c>
      <c r="B347" s="92" t="s">
        <v>169</v>
      </c>
      <c r="C347" s="92"/>
      <c r="D347" s="93">
        <v>91309</v>
      </c>
      <c r="E347" s="489">
        <v>86202.425094</v>
      </c>
      <c r="F347" s="489">
        <v>0</v>
      </c>
      <c r="G347" s="489">
        <v>0</v>
      </c>
      <c r="H347" s="489">
        <v>0</v>
      </c>
      <c r="I347" s="489">
        <v>0</v>
      </c>
      <c r="J347" s="489">
        <v>86202.425094</v>
      </c>
      <c r="K347" s="489">
        <v>0</v>
      </c>
      <c r="L347" s="489">
        <v>0</v>
      </c>
      <c r="M347" s="489">
        <v>0</v>
      </c>
      <c r="N347" s="489">
        <v>0</v>
      </c>
      <c r="O347" s="489">
        <v>0</v>
      </c>
      <c r="P347" s="489">
        <v>0</v>
      </c>
      <c r="Q347" s="489">
        <v>0</v>
      </c>
      <c r="R347" s="489">
        <v>0</v>
      </c>
      <c r="S347" s="489">
        <v>0</v>
      </c>
      <c r="T347" s="93">
        <v>0</v>
      </c>
      <c r="U347" s="93"/>
    </row>
    <row r="348" spans="1:21" ht="33.75" hidden="1">
      <c r="A348" s="20"/>
      <c r="B348" s="75" t="s">
        <v>422</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423</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426</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4">
        <v>31</v>
      </c>
      <c r="B351" s="18" t="s">
        <v>427</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176</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428</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4">
        <v>32</v>
      </c>
      <c r="B354" s="18" t="s">
        <v>429</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176</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430</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4">
        <v>33</v>
      </c>
      <c r="B357" s="18" t="s">
        <v>431</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176</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432</v>
      </c>
      <c r="C359" s="47">
        <v>7568095</v>
      </c>
      <c r="D359" s="22">
        <v>3739</v>
      </c>
      <c r="E359" s="482">
        <v>4295.665</v>
      </c>
      <c r="F359" s="24">
        <v>4295.665</v>
      </c>
      <c r="G359" s="24"/>
      <c r="H359" s="24"/>
      <c r="I359" s="24"/>
      <c r="J359" s="24"/>
      <c r="K359" s="24"/>
      <c r="L359" s="24"/>
      <c r="M359" s="24"/>
      <c r="N359" s="24"/>
      <c r="O359" s="24"/>
      <c r="P359" s="24"/>
      <c r="Q359" s="24"/>
      <c r="R359" s="24"/>
      <c r="S359" s="24"/>
      <c r="T359" s="22"/>
      <c r="U359" s="22"/>
    </row>
    <row r="360" spans="1:21" s="27" customFormat="1" ht="21">
      <c r="A360" s="244">
        <v>34</v>
      </c>
      <c r="B360" s="18" t="s">
        <v>433</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176</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4"/>
      <c r="B362" s="33" t="s">
        <v>434</v>
      </c>
      <c r="C362" s="34">
        <v>7005310</v>
      </c>
      <c r="D362" s="22">
        <v>661</v>
      </c>
      <c r="E362" s="482">
        <v>614.84</v>
      </c>
      <c r="F362" s="24">
        <v>614.84</v>
      </c>
      <c r="G362" s="24"/>
      <c r="H362" s="24"/>
      <c r="I362" s="24"/>
      <c r="J362" s="24"/>
      <c r="K362" s="24"/>
      <c r="L362" s="24"/>
      <c r="M362" s="24"/>
      <c r="N362" s="24"/>
      <c r="O362" s="24"/>
      <c r="P362" s="24"/>
      <c r="Q362" s="24"/>
      <c r="R362" s="24"/>
      <c r="S362" s="24"/>
      <c r="T362" s="22"/>
      <c r="U362" s="22"/>
    </row>
    <row r="363" spans="1:21" ht="21">
      <c r="A363" s="244">
        <v>35</v>
      </c>
      <c r="B363" s="18" t="s">
        <v>435</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164</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4"/>
      <c r="B365" s="33" t="s">
        <v>436</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4">
        <v>36</v>
      </c>
      <c r="B366" s="18" t="s">
        <v>437</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176</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438</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4">
        <v>37</v>
      </c>
      <c r="B369" s="18" t="s">
        <v>439</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176</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440</v>
      </c>
      <c r="C371" s="105" t="s">
        <v>441</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4">
        <v>38</v>
      </c>
      <c r="B372" s="18" t="s">
        <v>442</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176</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4"/>
      <c r="B374" s="49" t="s">
        <v>443</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161</v>
      </c>
      <c r="C375" s="141"/>
      <c r="D375" s="142">
        <v>0</v>
      </c>
      <c r="E375" s="494">
        <v>11850.432999999999</v>
      </c>
      <c r="F375" s="494">
        <v>0</v>
      </c>
      <c r="G375" s="494">
        <v>0</v>
      </c>
      <c r="H375" s="494">
        <v>0</v>
      </c>
      <c r="I375" s="494">
        <v>0</v>
      </c>
      <c r="J375" s="494">
        <v>0</v>
      </c>
      <c r="K375" s="494">
        <v>0</v>
      </c>
      <c r="L375" s="494">
        <v>0</v>
      </c>
      <c r="M375" s="494">
        <v>0</v>
      </c>
      <c r="N375" s="494">
        <v>0</v>
      </c>
      <c r="O375" s="494">
        <v>0</v>
      </c>
      <c r="P375" s="494">
        <v>0</v>
      </c>
      <c r="Q375" s="494">
        <v>0</v>
      </c>
      <c r="R375" s="494">
        <v>11850.432999999999</v>
      </c>
      <c r="S375" s="494">
        <v>0</v>
      </c>
      <c r="T375" s="142">
        <v>0</v>
      </c>
      <c r="U375" s="39"/>
    </row>
    <row r="376" spans="1:22" ht="33.75" customHeight="1" hidden="1">
      <c r="A376" s="244"/>
      <c r="B376" s="33" t="s">
        <v>444</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78"/>
    </row>
    <row r="377" spans="1:22" ht="22.5" customHeight="1" hidden="1">
      <c r="A377" s="244"/>
      <c r="B377" s="33" t="s">
        <v>445</v>
      </c>
      <c r="C377" s="34">
        <v>7591642</v>
      </c>
      <c r="D377" s="44"/>
      <c r="E377" s="24">
        <v>1476.704</v>
      </c>
      <c r="F377" s="24"/>
      <c r="G377" s="24"/>
      <c r="H377" s="24"/>
      <c r="I377" s="24"/>
      <c r="J377" s="24"/>
      <c r="K377" s="24"/>
      <c r="L377" s="24"/>
      <c r="M377" s="24"/>
      <c r="N377" s="24"/>
      <c r="O377" s="24"/>
      <c r="P377" s="24"/>
      <c r="Q377" s="24"/>
      <c r="R377" s="24">
        <v>1476.704</v>
      </c>
      <c r="S377" s="24"/>
      <c r="T377" s="22"/>
      <c r="U377" s="22"/>
      <c r="V377" s="478"/>
    </row>
    <row r="378" spans="1:21" s="41" customFormat="1" ht="11.25" hidden="1">
      <c r="A378" s="37"/>
      <c r="B378" s="38" t="s">
        <v>162</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4"/>
      <c r="B379" s="33" t="s">
        <v>443</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4">
        <v>39</v>
      </c>
      <c r="B380" s="18" t="s">
        <v>446</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176</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4"/>
      <c r="B382" s="78" t="s">
        <v>447</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4"/>
      <c r="B383" s="144" t="s">
        <v>448</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4"/>
      <c r="B384" s="144" t="s">
        <v>449</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4"/>
      <c r="B385" s="144" t="s">
        <v>450</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4"/>
      <c r="B386" s="144" t="s">
        <v>451</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4"/>
      <c r="B387" s="144" t="s">
        <v>452</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4"/>
      <c r="B388" s="144" t="s">
        <v>453</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4"/>
      <c r="B389" s="145" t="s">
        <v>454</v>
      </c>
      <c r="C389" s="146">
        <v>7297401</v>
      </c>
      <c r="D389" s="44">
        <v>130.463</v>
      </c>
      <c r="E389" s="482">
        <v>130.463</v>
      </c>
      <c r="F389" s="24"/>
      <c r="G389" s="24"/>
      <c r="H389" s="24"/>
      <c r="I389" s="24"/>
      <c r="J389" s="24"/>
      <c r="K389" s="24"/>
      <c r="L389" s="24"/>
      <c r="M389" s="24"/>
      <c r="N389" s="24"/>
      <c r="O389" s="482">
        <v>130.463</v>
      </c>
      <c r="P389" s="24"/>
      <c r="Q389" s="482">
        <v>130.463</v>
      </c>
      <c r="R389" s="24"/>
      <c r="S389" s="24"/>
      <c r="T389" s="22"/>
      <c r="U389" s="22"/>
    </row>
    <row r="390" spans="1:21" ht="45" hidden="1">
      <c r="A390" s="244"/>
      <c r="B390" s="45" t="s">
        <v>455</v>
      </c>
      <c r="C390" s="43">
        <v>7247869</v>
      </c>
      <c r="D390" s="44">
        <v>711.248</v>
      </c>
      <c r="E390" s="482">
        <v>711.248</v>
      </c>
      <c r="F390" s="24"/>
      <c r="G390" s="24"/>
      <c r="H390" s="24"/>
      <c r="I390" s="24"/>
      <c r="J390" s="24"/>
      <c r="K390" s="24"/>
      <c r="L390" s="24"/>
      <c r="M390" s="24"/>
      <c r="N390" s="24"/>
      <c r="O390" s="482">
        <v>711.248</v>
      </c>
      <c r="P390" s="24"/>
      <c r="Q390" s="482">
        <v>711.248</v>
      </c>
      <c r="R390" s="24"/>
      <c r="S390" s="24"/>
      <c r="T390" s="22"/>
      <c r="U390" s="22"/>
    </row>
    <row r="391" spans="1:21" ht="22.5" hidden="1">
      <c r="A391" s="244"/>
      <c r="B391" s="45" t="s">
        <v>456</v>
      </c>
      <c r="C391" s="43">
        <v>7255444</v>
      </c>
      <c r="D391" s="44">
        <v>458.76</v>
      </c>
      <c r="E391" s="482">
        <v>458.76</v>
      </c>
      <c r="F391" s="24"/>
      <c r="G391" s="24"/>
      <c r="H391" s="24"/>
      <c r="I391" s="24"/>
      <c r="J391" s="24"/>
      <c r="K391" s="24"/>
      <c r="L391" s="24"/>
      <c r="M391" s="24"/>
      <c r="N391" s="24"/>
      <c r="O391" s="482">
        <v>458.76</v>
      </c>
      <c r="P391" s="482">
        <v>458.76</v>
      </c>
      <c r="Q391" s="24"/>
      <c r="R391" s="24"/>
      <c r="S391" s="24"/>
      <c r="T391" s="22"/>
      <c r="U391" s="22"/>
    </row>
    <row r="392" spans="1:21" ht="33.75" hidden="1">
      <c r="A392" s="244"/>
      <c r="B392" s="63" t="s">
        <v>457</v>
      </c>
      <c r="C392" s="34">
        <v>7020227</v>
      </c>
      <c r="D392" s="44">
        <v>50.863159</v>
      </c>
      <c r="E392" s="482">
        <v>50.863159</v>
      </c>
      <c r="F392" s="24"/>
      <c r="G392" s="24"/>
      <c r="H392" s="24"/>
      <c r="I392" s="24"/>
      <c r="J392" s="24"/>
      <c r="K392" s="24"/>
      <c r="L392" s="24"/>
      <c r="M392" s="24"/>
      <c r="N392" s="24"/>
      <c r="O392" s="482">
        <v>50.863159</v>
      </c>
      <c r="P392" s="482"/>
      <c r="Q392" s="24"/>
      <c r="R392" s="24"/>
      <c r="S392" s="24"/>
      <c r="T392" s="22"/>
      <c r="U392" s="22"/>
    </row>
    <row r="393" spans="1:21" ht="22.5" hidden="1">
      <c r="A393" s="244"/>
      <c r="B393" s="63" t="s">
        <v>458</v>
      </c>
      <c r="C393" s="34">
        <v>7314825</v>
      </c>
      <c r="D393" s="44">
        <v>100.313</v>
      </c>
      <c r="E393" s="482">
        <v>100.313</v>
      </c>
      <c r="F393" s="24"/>
      <c r="G393" s="24"/>
      <c r="H393" s="24"/>
      <c r="I393" s="24"/>
      <c r="J393" s="24"/>
      <c r="K393" s="24"/>
      <c r="L393" s="24"/>
      <c r="M393" s="24"/>
      <c r="N393" s="24"/>
      <c r="O393" s="482">
        <v>100.313</v>
      </c>
      <c r="P393" s="482">
        <v>100.313</v>
      </c>
      <c r="Q393" s="24"/>
      <c r="R393" s="24"/>
      <c r="S393" s="24"/>
      <c r="T393" s="22"/>
      <c r="U393" s="22"/>
    </row>
    <row r="394" spans="1:21" ht="33.75" hidden="1">
      <c r="A394" s="244"/>
      <c r="B394" s="96" t="s">
        <v>459</v>
      </c>
      <c r="C394" s="81">
        <v>7294657</v>
      </c>
      <c r="D394" s="44">
        <v>41.182</v>
      </c>
      <c r="E394" s="482">
        <v>41.182</v>
      </c>
      <c r="F394" s="24"/>
      <c r="G394" s="24"/>
      <c r="H394" s="24"/>
      <c r="I394" s="24"/>
      <c r="J394" s="24"/>
      <c r="K394" s="24"/>
      <c r="L394" s="24"/>
      <c r="M394" s="24"/>
      <c r="N394" s="24"/>
      <c r="O394" s="482">
        <v>41.182</v>
      </c>
      <c r="P394" s="24"/>
      <c r="Q394" s="482">
        <v>41.182</v>
      </c>
      <c r="R394" s="24"/>
      <c r="S394" s="24"/>
      <c r="T394" s="22"/>
      <c r="U394" s="22"/>
    </row>
    <row r="395" spans="1:21" ht="22.5" hidden="1">
      <c r="A395" s="244"/>
      <c r="B395" s="49" t="s">
        <v>460</v>
      </c>
      <c r="C395" s="88">
        <v>7425116</v>
      </c>
      <c r="D395" s="44">
        <v>1500</v>
      </c>
      <c r="E395" s="482">
        <v>1553.941</v>
      </c>
      <c r="F395" s="24"/>
      <c r="G395" s="24"/>
      <c r="H395" s="24"/>
      <c r="I395" s="24"/>
      <c r="J395" s="24"/>
      <c r="K395" s="24"/>
      <c r="L395" s="24"/>
      <c r="M395" s="24"/>
      <c r="N395" s="24"/>
      <c r="O395" s="482">
        <v>1553.941</v>
      </c>
      <c r="P395" s="24"/>
      <c r="Q395" s="24"/>
      <c r="R395" s="24"/>
      <c r="S395" s="24"/>
      <c r="T395" s="22"/>
      <c r="U395" s="22"/>
    </row>
    <row r="396" spans="1:21" ht="11.25" hidden="1">
      <c r="A396" s="244"/>
      <c r="B396" s="49" t="s">
        <v>461</v>
      </c>
      <c r="C396" s="88">
        <v>7372050</v>
      </c>
      <c r="D396" s="44">
        <v>910</v>
      </c>
      <c r="E396" s="482">
        <v>880</v>
      </c>
      <c r="F396" s="24"/>
      <c r="G396" s="24"/>
      <c r="H396" s="24"/>
      <c r="I396" s="24"/>
      <c r="J396" s="24"/>
      <c r="K396" s="24"/>
      <c r="L396" s="24"/>
      <c r="M396" s="24"/>
      <c r="N396" s="24"/>
      <c r="O396" s="482">
        <v>880</v>
      </c>
      <c r="P396" s="24"/>
      <c r="Q396" s="24"/>
      <c r="R396" s="24"/>
      <c r="S396" s="24"/>
      <c r="T396" s="22"/>
      <c r="U396" s="22"/>
    </row>
    <row r="397" spans="1:21" ht="11.25" hidden="1">
      <c r="A397" s="244"/>
      <c r="B397" s="33" t="s">
        <v>462</v>
      </c>
      <c r="C397" s="123" t="s">
        <v>463</v>
      </c>
      <c r="D397" s="44">
        <v>1500</v>
      </c>
      <c r="E397" s="482">
        <v>1500</v>
      </c>
      <c r="F397" s="24"/>
      <c r="G397" s="24"/>
      <c r="H397" s="24"/>
      <c r="I397" s="24"/>
      <c r="J397" s="24"/>
      <c r="K397" s="24"/>
      <c r="L397" s="24"/>
      <c r="M397" s="24"/>
      <c r="N397" s="24"/>
      <c r="O397" s="24"/>
      <c r="P397" s="24"/>
      <c r="Q397" s="24"/>
      <c r="R397" s="482">
        <v>1500</v>
      </c>
      <c r="S397" s="24"/>
      <c r="T397" s="22"/>
      <c r="U397" s="22"/>
    </row>
    <row r="398" spans="1:21" ht="11.25" hidden="1">
      <c r="A398" s="244"/>
      <c r="B398" s="33" t="s">
        <v>464</v>
      </c>
      <c r="C398" s="88">
        <v>7536289</v>
      </c>
      <c r="D398" s="44">
        <v>2000</v>
      </c>
      <c r="E398" s="482">
        <v>2000</v>
      </c>
      <c r="F398" s="24"/>
      <c r="G398" s="24"/>
      <c r="H398" s="24"/>
      <c r="I398" s="24"/>
      <c r="J398" s="24"/>
      <c r="K398" s="24"/>
      <c r="L398" s="24"/>
      <c r="M398" s="24"/>
      <c r="N398" s="24"/>
      <c r="O398" s="24"/>
      <c r="P398" s="24"/>
      <c r="Q398" s="24"/>
      <c r="R398" s="482">
        <v>2000</v>
      </c>
      <c r="S398" s="24"/>
      <c r="T398" s="22"/>
      <c r="U398" s="22"/>
    </row>
    <row r="399" spans="1:21" ht="22.5" hidden="1">
      <c r="A399" s="244"/>
      <c r="B399" s="33" t="s">
        <v>465</v>
      </c>
      <c r="C399" s="88">
        <v>7500313</v>
      </c>
      <c r="D399" s="44">
        <v>2000</v>
      </c>
      <c r="E399" s="482">
        <v>2000</v>
      </c>
      <c r="F399" s="24"/>
      <c r="G399" s="24"/>
      <c r="H399" s="24"/>
      <c r="I399" s="24"/>
      <c r="J399" s="24"/>
      <c r="K399" s="24"/>
      <c r="L399" s="24"/>
      <c r="M399" s="24"/>
      <c r="N399" s="24"/>
      <c r="O399" s="24"/>
      <c r="P399" s="24"/>
      <c r="Q399" s="24"/>
      <c r="R399" s="482">
        <v>2000</v>
      </c>
      <c r="S399" s="24"/>
      <c r="T399" s="22"/>
      <c r="U399" s="22"/>
    </row>
    <row r="400" spans="1:21" ht="11.25" hidden="1">
      <c r="A400" s="244"/>
      <c r="B400" s="49" t="s">
        <v>466</v>
      </c>
      <c r="C400" s="34">
        <v>7195735</v>
      </c>
      <c r="D400" s="44">
        <v>256.245</v>
      </c>
      <c r="E400" s="482">
        <v>256.245</v>
      </c>
      <c r="F400" s="24"/>
      <c r="G400" s="24"/>
      <c r="H400" s="24"/>
      <c r="I400" s="24"/>
      <c r="J400" s="24"/>
      <c r="K400" s="482">
        <v>256.245</v>
      </c>
      <c r="L400" s="24"/>
      <c r="M400" s="24"/>
      <c r="N400" s="24"/>
      <c r="O400" s="24"/>
      <c r="P400" s="24"/>
      <c r="Q400" s="24"/>
      <c r="R400" s="24"/>
      <c r="S400" s="24"/>
      <c r="T400" s="22"/>
      <c r="U400" s="22"/>
    </row>
    <row r="401" spans="1:21" ht="45" hidden="1">
      <c r="A401" s="244"/>
      <c r="B401" s="67" t="s">
        <v>467</v>
      </c>
      <c r="C401" s="68">
        <v>7627188</v>
      </c>
      <c r="D401" s="86">
        <v>766.755</v>
      </c>
      <c r="E401" s="492">
        <v>766.755</v>
      </c>
      <c r="F401" s="24"/>
      <c r="G401" s="24"/>
      <c r="H401" s="24"/>
      <c r="I401" s="24"/>
      <c r="J401" s="24"/>
      <c r="K401" s="492">
        <v>766.755</v>
      </c>
      <c r="L401" s="24"/>
      <c r="M401" s="24"/>
      <c r="N401" s="24"/>
      <c r="O401" s="24"/>
      <c r="P401" s="24"/>
      <c r="Q401" s="24"/>
      <c r="R401" s="24"/>
      <c r="S401" s="24"/>
      <c r="T401" s="22"/>
      <c r="U401" s="22"/>
    </row>
    <row r="402" spans="1:21" s="46" customFormat="1" ht="11.25" hidden="1">
      <c r="A402" s="37"/>
      <c r="B402" s="74" t="s">
        <v>163</v>
      </c>
      <c r="C402" s="28"/>
      <c r="D402" s="30">
        <v>1200</v>
      </c>
      <c r="E402" s="480">
        <v>1200</v>
      </c>
      <c r="F402" s="480">
        <v>1200</v>
      </c>
      <c r="G402" s="480">
        <v>0</v>
      </c>
      <c r="H402" s="480">
        <v>0</v>
      </c>
      <c r="I402" s="480">
        <v>0</v>
      </c>
      <c r="J402" s="480">
        <v>0</v>
      </c>
      <c r="K402" s="480">
        <v>0</v>
      </c>
      <c r="L402" s="480">
        <v>0</v>
      </c>
      <c r="M402" s="480">
        <v>0</v>
      </c>
      <c r="N402" s="480">
        <v>0</v>
      </c>
      <c r="O402" s="480">
        <v>0</v>
      </c>
      <c r="P402" s="480">
        <v>0</v>
      </c>
      <c r="Q402" s="480">
        <v>0</v>
      </c>
      <c r="R402" s="480">
        <v>0</v>
      </c>
      <c r="S402" s="480">
        <v>0</v>
      </c>
      <c r="T402" s="30">
        <v>0</v>
      </c>
      <c r="U402" s="39"/>
    </row>
    <row r="403" spans="1:21" ht="22.5" hidden="1">
      <c r="A403" s="244"/>
      <c r="B403" s="131" t="s">
        <v>451</v>
      </c>
      <c r="C403" s="47">
        <v>7613016</v>
      </c>
      <c r="D403" s="44">
        <v>500</v>
      </c>
      <c r="E403" s="482">
        <v>500</v>
      </c>
      <c r="F403" s="482">
        <v>500</v>
      </c>
      <c r="G403" s="24"/>
      <c r="H403" s="24"/>
      <c r="I403" s="24"/>
      <c r="J403" s="24"/>
      <c r="K403" s="493"/>
      <c r="L403" s="24"/>
      <c r="M403" s="24"/>
      <c r="N403" s="24"/>
      <c r="O403" s="24"/>
      <c r="P403" s="24"/>
      <c r="Q403" s="24"/>
      <c r="R403" s="24"/>
      <c r="S403" s="24"/>
      <c r="T403" s="22"/>
      <c r="U403" s="22"/>
    </row>
    <row r="404" spans="1:21" ht="11.25" hidden="1">
      <c r="A404" s="244"/>
      <c r="B404" s="131" t="s">
        <v>452</v>
      </c>
      <c r="C404" s="34">
        <v>7614653</v>
      </c>
      <c r="D404" s="44">
        <v>500</v>
      </c>
      <c r="E404" s="482">
        <v>500</v>
      </c>
      <c r="F404" s="482">
        <v>500</v>
      </c>
      <c r="G404" s="24"/>
      <c r="H404" s="24"/>
      <c r="I404" s="24"/>
      <c r="J404" s="24"/>
      <c r="K404" s="493"/>
      <c r="L404" s="24"/>
      <c r="M404" s="24"/>
      <c r="N404" s="24"/>
      <c r="O404" s="24"/>
      <c r="P404" s="24"/>
      <c r="Q404" s="24"/>
      <c r="R404" s="24"/>
      <c r="S404" s="24"/>
      <c r="T404" s="22"/>
      <c r="U404" s="22"/>
    </row>
    <row r="405" spans="1:21" ht="11.25" hidden="1">
      <c r="A405" s="244"/>
      <c r="B405" s="131" t="s">
        <v>453</v>
      </c>
      <c r="C405" s="47">
        <v>7612600</v>
      </c>
      <c r="D405" s="44">
        <v>200</v>
      </c>
      <c r="E405" s="482">
        <v>200</v>
      </c>
      <c r="F405" s="482">
        <v>200</v>
      </c>
      <c r="G405" s="24"/>
      <c r="H405" s="24"/>
      <c r="I405" s="24"/>
      <c r="J405" s="24"/>
      <c r="K405" s="493"/>
      <c r="L405" s="24"/>
      <c r="M405" s="24"/>
      <c r="N405" s="24"/>
      <c r="O405" s="24"/>
      <c r="P405" s="24"/>
      <c r="Q405" s="24"/>
      <c r="R405" s="24"/>
      <c r="S405" s="24"/>
      <c r="T405" s="22"/>
      <c r="U405" s="22"/>
    </row>
    <row r="406" spans="1:21" s="46" customFormat="1" ht="22.5" hidden="1">
      <c r="A406" s="37"/>
      <c r="B406" s="74" t="s">
        <v>164</v>
      </c>
      <c r="C406" s="28"/>
      <c r="D406" s="30">
        <v>0</v>
      </c>
      <c r="E406" s="480">
        <v>189.005</v>
      </c>
      <c r="F406" s="480">
        <v>0</v>
      </c>
      <c r="G406" s="480">
        <v>0</v>
      </c>
      <c r="H406" s="480">
        <v>0</v>
      </c>
      <c r="I406" s="480">
        <v>0</v>
      </c>
      <c r="J406" s="480">
        <v>0</v>
      </c>
      <c r="K406" s="480">
        <v>0</v>
      </c>
      <c r="L406" s="480">
        <v>0</v>
      </c>
      <c r="M406" s="480">
        <v>0</v>
      </c>
      <c r="N406" s="480">
        <v>0</v>
      </c>
      <c r="O406" s="480">
        <v>189.005</v>
      </c>
      <c r="P406" s="480">
        <v>0</v>
      </c>
      <c r="Q406" s="480">
        <v>0</v>
      </c>
      <c r="R406" s="480">
        <v>0</v>
      </c>
      <c r="S406" s="480">
        <v>0</v>
      </c>
      <c r="T406" s="30">
        <v>0</v>
      </c>
      <c r="U406" s="39"/>
    </row>
    <row r="407" spans="1:21" ht="33.75" hidden="1">
      <c r="A407" s="244"/>
      <c r="B407" s="33" t="s">
        <v>468</v>
      </c>
      <c r="C407" s="34">
        <v>7621154</v>
      </c>
      <c r="D407" s="71"/>
      <c r="E407" s="493">
        <v>189.005</v>
      </c>
      <c r="F407" s="24"/>
      <c r="G407" s="24"/>
      <c r="H407" s="24"/>
      <c r="I407" s="24"/>
      <c r="J407" s="24"/>
      <c r="K407" s="493"/>
      <c r="L407" s="24"/>
      <c r="M407" s="24"/>
      <c r="N407" s="24"/>
      <c r="O407" s="493">
        <v>189.005</v>
      </c>
      <c r="P407" s="24"/>
      <c r="Q407" s="24"/>
      <c r="R407" s="24"/>
      <c r="S407" s="24"/>
      <c r="T407" s="22"/>
      <c r="U407" s="22"/>
    </row>
    <row r="408" spans="1:21" s="41" customFormat="1" ht="11.25" hidden="1">
      <c r="A408" s="37"/>
      <c r="B408" s="38" t="s">
        <v>165</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4"/>
      <c r="B409" s="147" t="s">
        <v>469</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4"/>
      <c r="B410" s="148" t="s">
        <v>470</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4"/>
      <c r="B411" s="49" t="s">
        <v>471</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4"/>
      <c r="B412" s="33" t="s">
        <v>472</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4"/>
      <c r="B413" s="33" t="s">
        <v>473</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191</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4"/>
      <c r="B415" s="149" t="s">
        <v>474</v>
      </c>
      <c r="C415" s="150" t="s">
        <v>475</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4"/>
      <c r="B416" s="149" t="s">
        <v>476</v>
      </c>
      <c r="C416" s="150" t="s">
        <v>477</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4"/>
      <c r="B417" s="149" t="s">
        <v>478</v>
      </c>
      <c r="C417" s="150" t="s">
        <v>479</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4"/>
      <c r="B418" s="149" t="s">
        <v>480</v>
      </c>
      <c r="C418" s="150" t="s">
        <v>481</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4">
        <v>40</v>
      </c>
      <c r="B419" s="18" t="s">
        <v>482</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176</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4"/>
      <c r="B421" s="45" t="s">
        <v>483</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4"/>
      <c r="B422" s="33" t="s">
        <v>484</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4">
        <v>41</v>
      </c>
      <c r="B423" s="18" t="s">
        <v>485</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176</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486</v>
      </c>
      <c r="C425" s="47">
        <v>7417258</v>
      </c>
      <c r="D425" s="44">
        <v>154.399</v>
      </c>
      <c r="E425" s="482">
        <v>154.399</v>
      </c>
      <c r="F425" s="24">
        <v>154.399</v>
      </c>
      <c r="G425" s="489"/>
      <c r="H425" s="489"/>
      <c r="I425" s="489"/>
      <c r="J425" s="489"/>
      <c r="K425" s="489"/>
      <c r="L425" s="489"/>
      <c r="M425" s="489"/>
      <c r="N425" s="489"/>
      <c r="O425" s="489"/>
      <c r="P425" s="489"/>
      <c r="Q425" s="489"/>
      <c r="R425" s="489"/>
      <c r="S425" s="489"/>
      <c r="T425" s="93"/>
      <c r="U425" s="93"/>
    </row>
    <row r="426" spans="1:21" s="41" customFormat="1" ht="22.5" hidden="1">
      <c r="A426" s="37"/>
      <c r="B426" s="144" t="s">
        <v>487</v>
      </c>
      <c r="C426" s="47">
        <v>7449366</v>
      </c>
      <c r="D426" s="44">
        <v>1380</v>
      </c>
      <c r="E426" s="482">
        <v>1380</v>
      </c>
      <c r="F426" s="24">
        <v>1380</v>
      </c>
      <c r="G426" s="489"/>
      <c r="H426" s="489"/>
      <c r="I426" s="489"/>
      <c r="J426" s="489"/>
      <c r="K426" s="489"/>
      <c r="L426" s="489"/>
      <c r="M426" s="489"/>
      <c r="N426" s="489"/>
      <c r="O426" s="489"/>
      <c r="P426" s="489"/>
      <c r="Q426" s="489"/>
      <c r="R426" s="489"/>
      <c r="S426" s="489"/>
      <c r="T426" s="93"/>
      <c r="U426" s="93"/>
    </row>
    <row r="427" spans="1:21" s="41" customFormat="1" ht="22.5" hidden="1">
      <c r="A427" s="37"/>
      <c r="B427" s="144" t="s">
        <v>488</v>
      </c>
      <c r="C427" s="47">
        <v>7373883</v>
      </c>
      <c r="D427" s="44">
        <v>1300</v>
      </c>
      <c r="E427" s="482">
        <v>1300</v>
      </c>
      <c r="F427" s="24">
        <v>1300</v>
      </c>
      <c r="G427" s="489"/>
      <c r="H427" s="489"/>
      <c r="I427" s="489"/>
      <c r="J427" s="489"/>
      <c r="K427" s="489"/>
      <c r="L427" s="489"/>
      <c r="M427" s="489"/>
      <c r="N427" s="489"/>
      <c r="O427" s="489"/>
      <c r="P427" s="489"/>
      <c r="Q427" s="489"/>
      <c r="R427" s="489"/>
      <c r="S427" s="489"/>
      <c r="T427" s="93"/>
      <c r="U427" s="93"/>
    </row>
    <row r="428" spans="1:21" s="41" customFormat="1" ht="33.75" hidden="1">
      <c r="A428" s="37"/>
      <c r="B428" s="49" t="s">
        <v>489</v>
      </c>
      <c r="C428" s="88">
        <v>7619654</v>
      </c>
      <c r="D428" s="44">
        <v>500</v>
      </c>
      <c r="E428" s="482">
        <v>500</v>
      </c>
      <c r="F428" s="24">
        <v>500</v>
      </c>
      <c r="G428" s="489"/>
      <c r="H428" s="489"/>
      <c r="I428" s="489"/>
      <c r="J428" s="489"/>
      <c r="K428" s="489"/>
      <c r="L428" s="489"/>
      <c r="M428" s="489"/>
      <c r="N428" s="489"/>
      <c r="O428" s="489"/>
      <c r="P428" s="489"/>
      <c r="Q428" s="489"/>
      <c r="R428" s="489"/>
      <c r="S428" s="489"/>
      <c r="T428" s="93"/>
      <c r="U428" s="93"/>
    </row>
    <row r="429" spans="1:21" s="41" customFormat="1" ht="33.75" hidden="1">
      <c r="A429" s="37"/>
      <c r="B429" s="144" t="s">
        <v>490</v>
      </c>
      <c r="C429" s="88">
        <v>7619653</v>
      </c>
      <c r="D429" s="44">
        <v>600</v>
      </c>
      <c r="E429" s="482">
        <v>584.044</v>
      </c>
      <c r="F429" s="24">
        <v>584.044</v>
      </c>
      <c r="G429" s="489"/>
      <c r="H429" s="489"/>
      <c r="I429" s="489"/>
      <c r="J429" s="489"/>
      <c r="K429" s="489"/>
      <c r="L429" s="489"/>
      <c r="M429" s="489"/>
      <c r="N429" s="489"/>
      <c r="O429" s="489"/>
      <c r="P429" s="489"/>
      <c r="Q429" s="489"/>
      <c r="R429" s="489"/>
      <c r="S429" s="489"/>
      <c r="T429" s="93"/>
      <c r="U429" s="93"/>
    </row>
    <row r="430" spans="1:21" s="41" customFormat="1" ht="33.75" hidden="1">
      <c r="A430" s="37"/>
      <c r="B430" s="144" t="s">
        <v>491</v>
      </c>
      <c r="C430" s="47">
        <v>7629155</v>
      </c>
      <c r="D430" s="44">
        <v>800</v>
      </c>
      <c r="E430" s="482">
        <v>540.028</v>
      </c>
      <c r="F430" s="24">
        <v>540.028</v>
      </c>
      <c r="G430" s="489"/>
      <c r="H430" s="489"/>
      <c r="I430" s="489"/>
      <c r="J430" s="489"/>
      <c r="K430" s="489"/>
      <c r="L430" s="489"/>
      <c r="M430" s="489"/>
      <c r="N430" s="489"/>
      <c r="O430" s="489"/>
      <c r="P430" s="489"/>
      <c r="Q430" s="489"/>
      <c r="R430" s="489"/>
      <c r="S430" s="489"/>
      <c r="T430" s="93"/>
      <c r="U430" s="93"/>
    </row>
    <row r="431" spans="1:21" s="41" customFormat="1" ht="22.5" hidden="1">
      <c r="A431" s="37"/>
      <c r="B431" s="144" t="s">
        <v>492</v>
      </c>
      <c r="C431" s="151" t="s">
        <v>493</v>
      </c>
      <c r="D431" s="152">
        <v>100</v>
      </c>
      <c r="E431" s="482">
        <v>100</v>
      </c>
      <c r="F431" s="24">
        <v>100</v>
      </c>
      <c r="G431" s="489"/>
      <c r="H431" s="489"/>
      <c r="I431" s="489"/>
      <c r="J431" s="489"/>
      <c r="K431" s="489"/>
      <c r="L431" s="489"/>
      <c r="M431" s="489"/>
      <c r="N431" s="489"/>
      <c r="O431" s="489"/>
      <c r="P431" s="489"/>
      <c r="Q431" s="489"/>
      <c r="R431" s="489"/>
      <c r="S431" s="489"/>
      <c r="T431" s="93"/>
      <c r="U431" s="93"/>
    </row>
    <row r="432" spans="1:21" ht="22.5" hidden="1">
      <c r="A432" s="20"/>
      <c r="B432" s="49" t="s">
        <v>494</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4"/>
      <c r="B433" s="33" t="s">
        <v>495</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4"/>
      <c r="B434" s="49" t="s">
        <v>496</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4"/>
      <c r="B435" s="49" t="s">
        <v>497</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4"/>
      <c r="B436" s="49" t="s">
        <v>498</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4"/>
      <c r="B437" s="96" t="s">
        <v>499</v>
      </c>
      <c r="C437" s="81">
        <v>7164983</v>
      </c>
      <c r="D437" s="44">
        <v>1174.05</v>
      </c>
      <c r="E437" s="482">
        <v>1174.05</v>
      </c>
      <c r="F437" s="24"/>
      <c r="G437" s="24"/>
      <c r="H437" s="24"/>
      <c r="I437" s="24"/>
      <c r="J437" s="482">
        <v>1174.05</v>
      </c>
      <c r="K437" s="24"/>
      <c r="L437" s="24"/>
      <c r="M437" s="24"/>
      <c r="N437" s="24"/>
      <c r="O437" s="24"/>
      <c r="P437" s="24"/>
      <c r="Q437" s="24"/>
      <c r="R437" s="24"/>
      <c r="S437" s="24"/>
      <c r="T437" s="22"/>
      <c r="U437" s="22"/>
    </row>
    <row r="438" spans="1:21" ht="22.5" hidden="1">
      <c r="A438" s="244"/>
      <c r="B438" s="49" t="s">
        <v>500</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163</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4"/>
      <c r="B440" s="49" t="s">
        <v>490</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4"/>
      <c r="B441" s="153" t="s">
        <v>491</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4"/>
      <c r="B442" s="33" t="s">
        <v>487</v>
      </c>
      <c r="C442" s="34">
        <v>7449366</v>
      </c>
      <c r="D442" s="22"/>
      <c r="E442" s="24">
        <v>502</v>
      </c>
      <c r="F442" s="24">
        <v>502</v>
      </c>
      <c r="G442" s="24"/>
      <c r="H442" s="24"/>
      <c r="I442" s="24"/>
      <c r="J442" s="24"/>
      <c r="K442" s="24"/>
      <c r="L442" s="24"/>
      <c r="M442" s="24"/>
      <c r="N442" s="24"/>
      <c r="O442" s="24"/>
      <c r="P442" s="24"/>
      <c r="Q442" s="24"/>
      <c r="R442" s="24"/>
      <c r="S442" s="24"/>
      <c r="T442" s="22"/>
      <c r="U442" s="22"/>
      <c r="V442" s="519"/>
      <c r="W442" s="519"/>
    </row>
    <row r="443" spans="1:21" s="46" customFormat="1" ht="11.25" hidden="1">
      <c r="A443" s="37"/>
      <c r="B443" s="154" t="s">
        <v>171</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4"/>
      <c r="B444" s="33" t="s">
        <v>501</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165</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4"/>
      <c r="B446" s="33" t="s">
        <v>502</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4"/>
      <c r="B447" s="49" t="s">
        <v>503</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4"/>
      <c r="B448" s="33" t="s">
        <v>504</v>
      </c>
      <c r="C448" s="51" t="s">
        <v>505</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191</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4"/>
      <c r="B450" s="33" t="s">
        <v>506</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4"/>
      <c r="B451" s="33" t="s">
        <v>507</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4"/>
      <c r="B452" s="33" t="s">
        <v>508</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4"/>
      <c r="B453" s="33" t="s">
        <v>509</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4"/>
      <c r="B454" s="33" t="s">
        <v>510</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4"/>
      <c r="B455" s="33" t="s">
        <v>511</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4"/>
      <c r="B456" s="33" t="s">
        <v>512</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4"/>
      <c r="B457" s="33" t="s">
        <v>513</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4"/>
      <c r="B458" s="33" t="s">
        <v>514</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4"/>
      <c r="B459" s="33" t="s">
        <v>515</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4"/>
      <c r="B460" s="33" t="s">
        <v>516</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4"/>
      <c r="B461" s="33" t="s">
        <v>517</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4"/>
      <c r="B462" s="33" t="s">
        <v>518</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4"/>
      <c r="B463" s="33" t="s">
        <v>519</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4"/>
      <c r="B464" s="33" t="s">
        <v>520</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4"/>
      <c r="B465" s="33" t="s">
        <v>521</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4"/>
      <c r="B466" s="33" t="s">
        <v>522</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4"/>
      <c r="B467" s="49" t="s">
        <v>523</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4"/>
      <c r="B468" s="49" t="s">
        <v>524</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4"/>
      <c r="B469" s="49" t="s">
        <v>525</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4"/>
      <c r="B470" s="49" t="s">
        <v>526</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4"/>
      <c r="B471" s="49" t="s">
        <v>527</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4"/>
      <c r="B472" s="49" t="s">
        <v>528</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4"/>
      <c r="B473" s="155" t="s">
        <v>529</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4">
        <v>42</v>
      </c>
      <c r="B474" s="18" t="s">
        <v>530</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8</v>
      </c>
      <c r="B475" s="92" t="s">
        <v>84</v>
      </c>
      <c r="C475" s="92"/>
      <c r="D475" s="93">
        <v>165125.1</v>
      </c>
      <c r="E475" s="489">
        <v>152428.59399999998</v>
      </c>
      <c r="F475" s="489">
        <v>5237.243</v>
      </c>
      <c r="G475" s="489">
        <v>0</v>
      </c>
      <c r="H475" s="489">
        <v>0</v>
      </c>
      <c r="I475" s="489">
        <v>0</v>
      </c>
      <c r="J475" s="489">
        <v>0</v>
      </c>
      <c r="K475" s="489">
        <v>2996</v>
      </c>
      <c r="L475" s="489">
        <v>0</v>
      </c>
      <c r="M475" s="489">
        <v>0</v>
      </c>
      <c r="N475" s="489">
        <v>0</v>
      </c>
      <c r="O475" s="489">
        <v>144195.351</v>
      </c>
      <c r="P475" s="489">
        <v>100015.872</v>
      </c>
      <c r="Q475" s="489">
        <v>5562.785000000001</v>
      </c>
      <c r="R475" s="489">
        <v>0</v>
      </c>
      <c r="S475" s="489">
        <v>0</v>
      </c>
      <c r="T475" s="93">
        <v>0</v>
      </c>
      <c r="U475" s="93"/>
    </row>
    <row r="476" spans="1:21" s="41" customFormat="1" ht="11.25" hidden="1">
      <c r="A476" s="37"/>
      <c r="B476" s="38" t="s">
        <v>176</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4"/>
      <c r="B477" s="120" t="s">
        <v>531</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4"/>
      <c r="B478" s="120" t="s">
        <v>532</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4"/>
      <c r="B479" s="120" t="s">
        <v>533</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4"/>
      <c r="B480" s="120" t="s">
        <v>534</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4"/>
      <c r="B481" s="120" t="s">
        <v>535</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4"/>
      <c r="B482" s="120" t="s">
        <v>536</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4"/>
      <c r="B483" s="120" t="s">
        <v>537</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4"/>
      <c r="B484" s="102" t="s">
        <v>538</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4"/>
      <c r="B485" s="102" t="s">
        <v>539</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4"/>
      <c r="B486" s="102" t="s">
        <v>540</v>
      </c>
      <c r="C486" s="105" t="s">
        <v>541</v>
      </c>
      <c r="D486" s="44">
        <v>2000</v>
      </c>
      <c r="E486" s="482">
        <v>2000</v>
      </c>
      <c r="F486" s="24"/>
      <c r="G486" s="24"/>
      <c r="H486" s="24"/>
      <c r="I486" s="24"/>
      <c r="J486" s="24"/>
      <c r="K486" s="24"/>
      <c r="L486" s="24"/>
      <c r="M486" s="24"/>
      <c r="N486" s="24"/>
      <c r="O486" s="482">
        <v>2000</v>
      </c>
      <c r="P486" s="24"/>
      <c r="Q486" s="24"/>
      <c r="R486" s="24"/>
      <c r="S486" s="24"/>
      <c r="T486" s="22"/>
      <c r="U486" s="22"/>
    </row>
    <row r="487" spans="1:21" ht="22.5" hidden="1">
      <c r="A487" s="244"/>
      <c r="B487" s="102" t="s">
        <v>542</v>
      </c>
      <c r="C487" s="105" t="s">
        <v>543</v>
      </c>
      <c r="D487" s="44">
        <v>1000</v>
      </c>
      <c r="E487" s="482">
        <v>1000</v>
      </c>
      <c r="F487" s="24"/>
      <c r="G487" s="24"/>
      <c r="H487" s="24"/>
      <c r="I487" s="24"/>
      <c r="J487" s="24"/>
      <c r="K487" s="24"/>
      <c r="L487" s="24"/>
      <c r="M487" s="24"/>
      <c r="N487" s="24"/>
      <c r="O487" s="482">
        <v>1000</v>
      </c>
      <c r="P487" s="24"/>
      <c r="Q487" s="24"/>
      <c r="R487" s="24"/>
      <c r="S487" s="24"/>
      <c r="T487" s="22"/>
      <c r="U487" s="22"/>
    </row>
    <row r="488" spans="1:21" ht="22.5" hidden="1">
      <c r="A488" s="244"/>
      <c r="B488" s="102" t="s">
        <v>544</v>
      </c>
      <c r="C488" s="105" t="s">
        <v>545</v>
      </c>
      <c r="D488" s="44">
        <v>1400</v>
      </c>
      <c r="E488" s="482">
        <v>1400</v>
      </c>
      <c r="F488" s="24"/>
      <c r="G488" s="24"/>
      <c r="H488" s="24"/>
      <c r="I488" s="24"/>
      <c r="J488" s="24"/>
      <c r="K488" s="24"/>
      <c r="L488" s="24"/>
      <c r="M488" s="24"/>
      <c r="N488" s="24"/>
      <c r="O488" s="482">
        <v>1400</v>
      </c>
      <c r="P488" s="24"/>
      <c r="Q488" s="24"/>
      <c r="R488" s="24"/>
      <c r="S488" s="24"/>
      <c r="T488" s="22"/>
      <c r="U488" s="22"/>
    </row>
    <row r="489" spans="1:21" ht="56.25" hidden="1">
      <c r="A489" s="244"/>
      <c r="B489" s="145" t="s">
        <v>546</v>
      </c>
      <c r="C489" s="146">
        <v>7308587</v>
      </c>
      <c r="D489" s="44">
        <v>143.823</v>
      </c>
      <c r="E489" s="482">
        <v>143.823</v>
      </c>
      <c r="F489" s="24"/>
      <c r="G489" s="24"/>
      <c r="H489" s="24"/>
      <c r="I489" s="24"/>
      <c r="J489" s="24"/>
      <c r="K489" s="24"/>
      <c r="L489" s="24"/>
      <c r="M489" s="24"/>
      <c r="N489" s="24"/>
      <c r="O489" s="482">
        <v>143.823</v>
      </c>
      <c r="P489" s="24"/>
      <c r="Q489" s="482">
        <v>143.823</v>
      </c>
      <c r="R489" s="24"/>
      <c r="S489" s="24"/>
      <c r="T489" s="22"/>
      <c r="U489" s="22"/>
    </row>
    <row r="490" spans="1:21" ht="33.75" hidden="1">
      <c r="A490" s="244"/>
      <c r="B490" s="49" t="s">
        <v>547</v>
      </c>
      <c r="C490" s="105" t="s">
        <v>548</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4"/>
      <c r="B491" s="49" t="s">
        <v>549</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4"/>
      <c r="B492" s="49" t="s">
        <v>550</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4"/>
      <c r="B493" s="49" t="s">
        <v>551</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162</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4"/>
      <c r="B495" s="49" t="s">
        <v>552</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4"/>
      <c r="B496" s="49" t="s">
        <v>553</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4"/>
      <c r="B497" s="49" t="s">
        <v>551</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4"/>
      <c r="B498" s="33" t="s">
        <v>554</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163</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4"/>
      <c r="B500" s="120" t="s">
        <v>535</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4"/>
      <c r="B501" s="49" t="s">
        <v>555</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4"/>
      <c r="B502" s="120" t="s">
        <v>536</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165</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556</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557</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558</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559</v>
      </c>
      <c r="C507" s="50">
        <v>7278036</v>
      </c>
      <c r="D507" s="44">
        <v>2996</v>
      </c>
      <c r="E507" s="482">
        <v>2996</v>
      </c>
      <c r="F507" s="24"/>
      <c r="G507" s="24"/>
      <c r="H507" s="24"/>
      <c r="I507" s="24"/>
      <c r="J507" s="24"/>
      <c r="K507" s="482">
        <v>2996</v>
      </c>
      <c r="L507" s="24"/>
      <c r="M507" s="24"/>
      <c r="N507" s="24"/>
      <c r="O507" s="24"/>
      <c r="P507" s="24"/>
      <c r="Q507" s="24"/>
      <c r="R507" s="24"/>
      <c r="S507" s="24"/>
      <c r="T507" s="22"/>
      <c r="U507" s="22"/>
    </row>
    <row r="508" spans="1:21" ht="33.75" hidden="1">
      <c r="A508" s="20"/>
      <c r="B508" s="75" t="s">
        <v>560</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561</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562</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563</v>
      </c>
      <c r="C511" s="51" t="s">
        <v>564</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8</v>
      </c>
      <c r="B512" s="92" t="s">
        <v>169</v>
      </c>
      <c r="C512" s="92"/>
      <c r="D512" s="93">
        <v>26716</v>
      </c>
      <c r="E512" s="489">
        <v>85158.133765</v>
      </c>
      <c r="F512" s="489">
        <v>0</v>
      </c>
      <c r="G512" s="489">
        <v>0</v>
      </c>
      <c r="H512" s="489">
        <v>0</v>
      </c>
      <c r="I512" s="489">
        <v>0</v>
      </c>
      <c r="J512" s="489">
        <v>0</v>
      </c>
      <c r="K512" s="489">
        <v>0</v>
      </c>
      <c r="L512" s="489">
        <v>0</v>
      </c>
      <c r="M512" s="489">
        <v>0</v>
      </c>
      <c r="N512" s="489">
        <v>2567.368</v>
      </c>
      <c r="O512" s="489">
        <v>82590.765765</v>
      </c>
      <c r="P512" s="489">
        <v>0</v>
      </c>
      <c r="Q512" s="489">
        <v>0</v>
      </c>
      <c r="R512" s="489">
        <v>0</v>
      </c>
      <c r="S512" s="489">
        <v>0</v>
      </c>
      <c r="T512" s="93">
        <v>0</v>
      </c>
      <c r="U512" s="93"/>
    </row>
    <row r="513" spans="1:21" ht="33.75" hidden="1">
      <c r="A513" s="244"/>
      <c r="B513" s="75" t="s">
        <v>560</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4"/>
      <c r="B514" s="33" t="s">
        <v>560</v>
      </c>
      <c r="C514" s="34">
        <v>7245439</v>
      </c>
      <c r="D514" s="65"/>
      <c r="E514" s="482">
        <v>2567.368</v>
      </c>
      <c r="F514" s="24"/>
      <c r="G514" s="24"/>
      <c r="H514" s="24"/>
      <c r="I514" s="24"/>
      <c r="J514" s="24"/>
      <c r="K514" s="24"/>
      <c r="L514" s="24"/>
      <c r="M514" s="24"/>
      <c r="N514" s="482">
        <v>2567.368</v>
      </c>
      <c r="O514" s="24"/>
      <c r="P514" s="24"/>
      <c r="Q514" s="24"/>
      <c r="R514" s="24"/>
      <c r="S514" s="24"/>
      <c r="T514" s="22"/>
      <c r="U514" s="22"/>
    </row>
    <row r="515" spans="1:21" ht="11.25">
      <c r="A515" s="244">
        <v>43</v>
      </c>
      <c r="B515" s="18" t="s">
        <v>565</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176</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4"/>
      <c r="B517" s="157" t="s">
        <v>566</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4"/>
      <c r="B518" s="144" t="s">
        <v>567</v>
      </c>
      <c r="C518" s="47">
        <v>7566289</v>
      </c>
      <c r="D518" s="44">
        <v>1200</v>
      </c>
      <c r="E518" s="482">
        <v>1584.356</v>
      </c>
      <c r="F518" s="24">
        <v>1584.356</v>
      </c>
      <c r="G518" s="24"/>
      <c r="H518" s="24"/>
      <c r="I518" s="24"/>
      <c r="J518" s="24"/>
      <c r="K518" s="24"/>
      <c r="L518" s="24"/>
      <c r="M518" s="24"/>
      <c r="N518" s="24"/>
      <c r="O518" s="24"/>
      <c r="P518" s="24"/>
      <c r="Q518" s="24"/>
      <c r="R518" s="24"/>
      <c r="S518" s="24"/>
      <c r="T518" s="22"/>
      <c r="U518" s="22"/>
    </row>
    <row r="519" spans="1:21" ht="11.25" hidden="1">
      <c r="A519" s="244"/>
      <c r="B519" s="144" t="s">
        <v>568</v>
      </c>
      <c r="C519" s="47">
        <v>7566291</v>
      </c>
      <c r="D519" s="44">
        <v>1200</v>
      </c>
      <c r="E519" s="482">
        <v>1716.8</v>
      </c>
      <c r="F519" s="24">
        <v>1716.8</v>
      </c>
      <c r="G519" s="24"/>
      <c r="H519" s="24"/>
      <c r="I519" s="24"/>
      <c r="J519" s="24"/>
      <c r="K519" s="24"/>
      <c r="L519" s="24"/>
      <c r="M519" s="24"/>
      <c r="N519" s="24"/>
      <c r="O519" s="24"/>
      <c r="P519" s="24"/>
      <c r="Q519" s="24"/>
      <c r="R519" s="24"/>
      <c r="S519" s="24"/>
      <c r="T519" s="22"/>
      <c r="U519" s="22"/>
    </row>
    <row r="520" spans="1:21" ht="22.5" hidden="1">
      <c r="A520" s="244"/>
      <c r="B520" s="144" t="s">
        <v>569</v>
      </c>
      <c r="C520" s="47">
        <v>7566923</v>
      </c>
      <c r="D520" s="44">
        <v>1200</v>
      </c>
      <c r="E520" s="482">
        <v>1570.769</v>
      </c>
      <c r="F520" s="24">
        <v>1570.769</v>
      </c>
      <c r="G520" s="24"/>
      <c r="H520" s="24"/>
      <c r="I520" s="24"/>
      <c r="J520" s="24"/>
      <c r="K520" s="24"/>
      <c r="L520" s="24"/>
      <c r="M520" s="24"/>
      <c r="N520" s="24"/>
      <c r="O520" s="24"/>
      <c r="P520" s="24"/>
      <c r="Q520" s="24"/>
      <c r="R520" s="24"/>
      <c r="S520" s="24"/>
      <c r="T520" s="22"/>
      <c r="U520" s="22"/>
    </row>
    <row r="521" spans="1:21" ht="11.25" hidden="1">
      <c r="A521" s="244"/>
      <c r="B521" s="144" t="s">
        <v>570</v>
      </c>
      <c r="C521" s="88">
        <v>7615554</v>
      </c>
      <c r="D521" s="44">
        <v>600</v>
      </c>
      <c r="E521" s="482">
        <v>381.511</v>
      </c>
      <c r="F521" s="24">
        <v>381.511</v>
      </c>
      <c r="G521" s="24"/>
      <c r="H521" s="24"/>
      <c r="I521" s="24"/>
      <c r="J521" s="24"/>
      <c r="K521" s="24"/>
      <c r="L521" s="24"/>
      <c r="M521" s="24"/>
      <c r="N521" s="24"/>
      <c r="O521" s="24"/>
      <c r="P521" s="24"/>
      <c r="Q521" s="24"/>
      <c r="R521" s="24"/>
      <c r="S521" s="24"/>
      <c r="T521" s="22"/>
      <c r="U521" s="22"/>
    </row>
    <row r="522" spans="1:21" ht="11.25" hidden="1">
      <c r="A522" s="244"/>
      <c r="B522" s="144" t="s">
        <v>571</v>
      </c>
      <c r="C522" s="88">
        <v>7615551</v>
      </c>
      <c r="D522" s="44">
        <v>400</v>
      </c>
      <c r="E522" s="482">
        <v>266.747</v>
      </c>
      <c r="F522" s="24">
        <v>266.747</v>
      </c>
      <c r="G522" s="24"/>
      <c r="H522" s="24"/>
      <c r="I522" s="24"/>
      <c r="J522" s="24"/>
      <c r="K522" s="24"/>
      <c r="L522" s="24"/>
      <c r="M522" s="24"/>
      <c r="N522" s="24"/>
      <c r="O522" s="24"/>
      <c r="P522" s="24"/>
      <c r="Q522" s="24"/>
      <c r="R522" s="24"/>
      <c r="S522" s="24"/>
      <c r="T522" s="22"/>
      <c r="U522" s="22"/>
    </row>
    <row r="523" spans="1:21" ht="11.25" hidden="1">
      <c r="A523" s="244"/>
      <c r="B523" s="144" t="s">
        <v>270</v>
      </c>
      <c r="C523" s="88">
        <v>7615550</v>
      </c>
      <c r="D523" s="44">
        <v>400</v>
      </c>
      <c r="E523" s="482">
        <v>347.775</v>
      </c>
      <c r="F523" s="24">
        <v>347.775</v>
      </c>
      <c r="G523" s="24"/>
      <c r="H523" s="24"/>
      <c r="I523" s="24"/>
      <c r="J523" s="24"/>
      <c r="K523" s="24"/>
      <c r="L523" s="24"/>
      <c r="M523" s="24"/>
      <c r="N523" s="24"/>
      <c r="O523" s="24"/>
      <c r="P523" s="24"/>
      <c r="Q523" s="24"/>
      <c r="R523" s="24"/>
      <c r="S523" s="24"/>
      <c r="T523" s="22"/>
      <c r="U523" s="22"/>
    </row>
    <row r="524" spans="1:21" ht="22.5" hidden="1">
      <c r="A524" s="244"/>
      <c r="B524" s="145" t="s">
        <v>572</v>
      </c>
      <c r="C524" s="146">
        <v>7194769</v>
      </c>
      <c r="D524" s="44">
        <v>51.14</v>
      </c>
      <c r="E524" s="482">
        <v>51.14</v>
      </c>
      <c r="F524" s="24"/>
      <c r="G524" s="24"/>
      <c r="H524" s="24"/>
      <c r="I524" s="24"/>
      <c r="J524" s="24"/>
      <c r="K524" s="24"/>
      <c r="L524" s="24"/>
      <c r="M524" s="24"/>
      <c r="N524" s="24"/>
      <c r="O524" s="482">
        <v>51.14</v>
      </c>
      <c r="P524" s="24"/>
      <c r="Q524" s="482">
        <v>51.14</v>
      </c>
      <c r="R524" s="24"/>
      <c r="S524" s="24"/>
      <c r="T524" s="22"/>
      <c r="U524" s="22"/>
    </row>
    <row r="525" spans="1:21" ht="22.5" hidden="1">
      <c r="A525" s="244"/>
      <c r="B525" s="45" t="s">
        <v>573</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4"/>
      <c r="B526" s="45" t="s">
        <v>574</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4"/>
      <c r="B527" s="45" t="s">
        <v>575</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4"/>
      <c r="B528" s="45" t="s">
        <v>576</v>
      </c>
      <c r="C528" s="43">
        <v>7010762</v>
      </c>
      <c r="D528" s="44">
        <v>2400</v>
      </c>
      <c r="E528" s="482">
        <v>2460.396</v>
      </c>
      <c r="F528" s="24"/>
      <c r="G528" s="24"/>
      <c r="H528" s="24"/>
      <c r="I528" s="24"/>
      <c r="J528" s="24"/>
      <c r="K528" s="24"/>
      <c r="L528" s="24"/>
      <c r="M528" s="24"/>
      <c r="N528" s="24"/>
      <c r="O528" s="482">
        <v>2460.396</v>
      </c>
      <c r="P528" s="482">
        <v>2460.396</v>
      </c>
      <c r="Q528" s="24"/>
      <c r="R528" s="24"/>
      <c r="S528" s="24"/>
      <c r="T528" s="22"/>
      <c r="U528" s="22"/>
    </row>
    <row r="529" spans="1:21" ht="22.5" hidden="1">
      <c r="A529" s="244"/>
      <c r="B529" s="49" t="s">
        <v>577</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4"/>
      <c r="B530" s="49" t="s">
        <v>578</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4"/>
      <c r="B531" s="49" t="s">
        <v>579</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4"/>
      <c r="B532" s="33" t="s">
        <v>580</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162</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4"/>
      <c r="B534" s="33" t="s">
        <v>581</v>
      </c>
      <c r="C534" s="34">
        <v>7584157</v>
      </c>
      <c r="D534" s="44">
        <v>3736.6</v>
      </c>
      <c r="E534" s="482">
        <v>3736.6</v>
      </c>
      <c r="F534" s="24"/>
      <c r="G534" s="24"/>
      <c r="H534" s="24"/>
      <c r="I534" s="24"/>
      <c r="J534" s="24"/>
      <c r="K534" s="24"/>
      <c r="L534" s="24"/>
      <c r="M534" s="24"/>
      <c r="N534" s="24"/>
      <c r="O534" s="482">
        <v>3736.6</v>
      </c>
      <c r="P534" s="482">
        <v>3736.6</v>
      </c>
      <c r="Q534" s="24"/>
      <c r="R534" s="24"/>
      <c r="S534" s="24"/>
      <c r="T534" s="22"/>
      <c r="U534" s="22"/>
    </row>
    <row r="535" spans="1:21" s="41" customFormat="1" ht="11.25" hidden="1">
      <c r="A535" s="37"/>
      <c r="B535" s="38" t="s">
        <v>163</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4"/>
      <c r="B536" s="95" t="s">
        <v>582</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4"/>
      <c r="B537" s="33" t="s">
        <v>570</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4"/>
      <c r="B538" s="95" t="s">
        <v>571</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4"/>
      <c r="B539" s="95" t="s">
        <v>270</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164</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583</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584</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585</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586</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587</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588</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589</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590</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165</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591</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592</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191</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593</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594</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595</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596</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597</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598</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599</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600</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601</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602</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603</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604</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605</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606</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607</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608</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609</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610</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611</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4">
        <v>44</v>
      </c>
      <c r="B572" s="18" t="s">
        <v>612</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176</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4"/>
      <c r="B574" s="33" t="s">
        <v>613</v>
      </c>
      <c r="C574" s="100">
        <v>7574114</v>
      </c>
      <c r="D574" s="44">
        <v>1400</v>
      </c>
      <c r="E574" s="482">
        <v>1920</v>
      </c>
      <c r="F574" s="24">
        <v>1920</v>
      </c>
      <c r="G574" s="24"/>
      <c r="H574" s="24"/>
      <c r="I574" s="24"/>
      <c r="J574" s="24"/>
      <c r="K574" s="24"/>
      <c r="L574" s="24"/>
      <c r="M574" s="24"/>
      <c r="N574" s="24"/>
      <c r="O574" s="24"/>
      <c r="P574" s="24"/>
      <c r="Q574" s="24"/>
      <c r="R574" s="24"/>
      <c r="S574" s="24"/>
      <c r="T574" s="22"/>
      <c r="U574" s="22"/>
    </row>
    <row r="575" spans="1:21" ht="22.5" hidden="1">
      <c r="A575" s="244"/>
      <c r="B575" s="33" t="s">
        <v>614</v>
      </c>
      <c r="C575" s="100">
        <v>7574117</v>
      </c>
      <c r="D575" s="44">
        <v>1400</v>
      </c>
      <c r="E575" s="482">
        <v>1700</v>
      </c>
      <c r="F575" s="24">
        <v>1700</v>
      </c>
      <c r="G575" s="24"/>
      <c r="H575" s="24"/>
      <c r="I575" s="24"/>
      <c r="J575" s="24"/>
      <c r="K575" s="24"/>
      <c r="L575" s="24"/>
      <c r="M575" s="24"/>
      <c r="N575" s="24"/>
      <c r="O575" s="24"/>
      <c r="P575" s="24"/>
      <c r="Q575" s="24"/>
      <c r="R575" s="24"/>
      <c r="S575" s="24"/>
      <c r="T575" s="22"/>
      <c r="U575" s="22"/>
    </row>
    <row r="576" spans="1:21" ht="22.5" hidden="1">
      <c r="A576" s="244"/>
      <c r="B576" s="33" t="s">
        <v>615</v>
      </c>
      <c r="C576" s="100">
        <v>7630382</v>
      </c>
      <c r="D576" s="44">
        <v>800</v>
      </c>
      <c r="E576" s="482">
        <v>150</v>
      </c>
      <c r="F576" s="24">
        <v>150</v>
      </c>
      <c r="G576" s="24"/>
      <c r="H576" s="24"/>
      <c r="I576" s="24"/>
      <c r="J576" s="24"/>
      <c r="K576" s="24"/>
      <c r="L576" s="24"/>
      <c r="M576" s="24"/>
      <c r="N576" s="24"/>
      <c r="O576" s="24"/>
      <c r="P576" s="24"/>
      <c r="Q576" s="24"/>
      <c r="R576" s="24"/>
      <c r="S576" s="24"/>
      <c r="T576" s="22"/>
      <c r="U576" s="22"/>
    </row>
    <row r="577" spans="1:21" ht="22.5" hidden="1">
      <c r="A577" s="244"/>
      <c r="B577" s="33" t="s">
        <v>616</v>
      </c>
      <c r="C577" s="100">
        <v>7627186</v>
      </c>
      <c r="D577" s="44">
        <v>800</v>
      </c>
      <c r="E577" s="482">
        <v>150</v>
      </c>
      <c r="F577" s="24">
        <v>150</v>
      </c>
      <c r="G577" s="24"/>
      <c r="H577" s="24"/>
      <c r="I577" s="24"/>
      <c r="J577" s="24"/>
      <c r="K577" s="24"/>
      <c r="L577" s="24"/>
      <c r="M577" s="24"/>
      <c r="N577" s="24"/>
      <c r="O577" s="24"/>
      <c r="P577" s="24"/>
      <c r="Q577" s="24"/>
      <c r="R577" s="24"/>
      <c r="S577" s="24"/>
      <c r="T577" s="22"/>
      <c r="U577" s="22"/>
    </row>
    <row r="578" spans="1:21" ht="11.25" hidden="1">
      <c r="A578" s="244"/>
      <c r="B578" s="33" t="s">
        <v>617</v>
      </c>
      <c r="C578" s="101">
        <v>7615894</v>
      </c>
      <c r="D578" s="44">
        <v>600</v>
      </c>
      <c r="E578" s="482">
        <v>600</v>
      </c>
      <c r="F578" s="24">
        <v>600</v>
      </c>
      <c r="G578" s="24"/>
      <c r="H578" s="24"/>
      <c r="I578" s="24"/>
      <c r="J578" s="24"/>
      <c r="K578" s="24"/>
      <c r="L578" s="24"/>
      <c r="M578" s="24"/>
      <c r="N578" s="24"/>
      <c r="O578" s="24"/>
      <c r="P578" s="24"/>
      <c r="Q578" s="24"/>
      <c r="R578" s="24"/>
      <c r="S578" s="24"/>
      <c r="T578" s="22"/>
      <c r="U578" s="22"/>
    </row>
    <row r="579" spans="1:21" ht="33.75" hidden="1">
      <c r="A579" s="244"/>
      <c r="B579" s="102" t="s">
        <v>618</v>
      </c>
      <c r="C579" s="105" t="s">
        <v>619</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4"/>
      <c r="B580" s="45" t="s">
        <v>620</v>
      </c>
      <c r="C580" s="43">
        <v>7151333</v>
      </c>
      <c r="D580" s="44">
        <v>97.167</v>
      </c>
      <c r="E580" s="482">
        <v>97.167</v>
      </c>
      <c r="F580" s="24"/>
      <c r="G580" s="24"/>
      <c r="H580" s="24"/>
      <c r="I580" s="24"/>
      <c r="J580" s="24"/>
      <c r="K580" s="24"/>
      <c r="L580" s="24"/>
      <c r="M580" s="24"/>
      <c r="N580" s="24"/>
      <c r="O580" s="482">
        <v>97.167</v>
      </c>
      <c r="P580" s="482">
        <v>97.167</v>
      </c>
      <c r="Q580" s="24"/>
      <c r="R580" s="24"/>
      <c r="S580" s="24"/>
      <c r="T580" s="22"/>
      <c r="U580" s="22"/>
    </row>
    <row r="581" spans="1:21" ht="22.5" hidden="1">
      <c r="A581" s="244"/>
      <c r="B581" s="45" t="s">
        <v>621</v>
      </c>
      <c r="C581" s="43">
        <v>7380737</v>
      </c>
      <c r="D581" s="44">
        <v>1583.869</v>
      </c>
      <c r="E581" s="482">
        <v>1583.869</v>
      </c>
      <c r="F581" s="24"/>
      <c r="G581" s="24"/>
      <c r="H581" s="24"/>
      <c r="I581" s="24"/>
      <c r="J581" s="24"/>
      <c r="K581" s="482">
        <v>1583.869</v>
      </c>
      <c r="L581" s="24"/>
      <c r="M581" s="24"/>
      <c r="N581" s="24"/>
      <c r="O581" s="482"/>
      <c r="P581" s="24"/>
      <c r="Q581" s="24"/>
      <c r="R581" s="24"/>
      <c r="S581" s="24"/>
      <c r="T581" s="22"/>
      <c r="U581" s="22"/>
    </row>
    <row r="582" spans="1:21" ht="22.5" hidden="1">
      <c r="A582" s="244"/>
      <c r="B582" s="49" t="s">
        <v>622</v>
      </c>
      <c r="C582" s="105" t="s">
        <v>623</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162</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4"/>
      <c r="B584" s="33" t="s">
        <v>624</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163</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4"/>
      <c r="B586" s="139" t="s">
        <v>625</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4"/>
      <c r="B587" s="160" t="s">
        <v>617</v>
      </c>
      <c r="C587" s="101" t="s">
        <v>626</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589</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627</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628</v>
      </c>
      <c r="C590" s="34" t="s">
        <v>629</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630</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631</v>
      </c>
      <c r="C592" s="34" t="s">
        <v>632</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633</v>
      </c>
      <c r="C593" s="34" t="s">
        <v>634</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635</v>
      </c>
      <c r="C594" s="34" t="s">
        <v>636</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637</v>
      </c>
      <c r="C595" s="51" t="s">
        <v>638</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639</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640</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165</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4"/>
      <c r="B599" s="49" t="s">
        <v>641</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4"/>
      <c r="B600" s="161" t="s">
        <v>642</v>
      </c>
      <c r="C600" s="162" t="s">
        <v>643</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191</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4"/>
      <c r="B602" s="33" t="s">
        <v>644</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4"/>
      <c r="B603" s="33" t="s">
        <v>645</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4"/>
      <c r="B604" s="33" t="s">
        <v>646</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4"/>
      <c r="B605" s="33" t="s">
        <v>647</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4"/>
      <c r="B606" s="33" t="s">
        <v>648</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4"/>
      <c r="B607" s="33" t="s">
        <v>649</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4"/>
      <c r="B608" s="33" t="s">
        <v>650</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4"/>
      <c r="B609" s="33" t="s">
        <v>651</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4"/>
      <c r="B610" s="33" t="s">
        <v>652</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4"/>
      <c r="B611" s="33" t="s">
        <v>653</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4"/>
      <c r="B612" s="33" t="s">
        <v>654</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4"/>
      <c r="B613" s="33" t="s">
        <v>655</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4"/>
      <c r="B614" s="33" t="s">
        <v>656</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4"/>
      <c r="B615" s="33" t="s">
        <v>657</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4"/>
      <c r="B616" s="33" t="s">
        <v>658</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4"/>
      <c r="B617" s="163" t="s">
        <v>659</v>
      </c>
      <c r="C617" s="164" t="s">
        <v>660</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4"/>
      <c r="B618" s="163" t="s">
        <v>661</v>
      </c>
      <c r="C618" s="164" t="s">
        <v>662</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4"/>
      <c r="B619" s="163" t="s">
        <v>663</v>
      </c>
      <c r="C619" s="165" t="s">
        <v>664</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4"/>
      <c r="B620" s="163" t="s">
        <v>665</v>
      </c>
      <c r="C620" s="164" t="s">
        <v>666</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4"/>
      <c r="B621" s="163" t="s">
        <v>667</v>
      </c>
      <c r="C621" s="164" t="s">
        <v>668</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4"/>
      <c r="B622" s="166" t="s">
        <v>669</v>
      </c>
      <c r="C622" s="164" t="s">
        <v>670</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4"/>
      <c r="B623" s="166" t="s">
        <v>671</v>
      </c>
      <c r="C623" s="164" t="s">
        <v>672</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4"/>
      <c r="B624" s="166" t="s">
        <v>673</v>
      </c>
      <c r="C624" s="164" t="s">
        <v>674</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4"/>
      <c r="B625" s="166" t="s">
        <v>675</v>
      </c>
      <c r="C625" s="164" t="s">
        <v>676</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4"/>
      <c r="B626" s="163" t="s">
        <v>677</v>
      </c>
      <c r="C626" s="165" t="s">
        <v>678</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4"/>
      <c r="B627" s="163" t="s">
        <v>679</v>
      </c>
      <c r="C627" s="165" t="s">
        <v>680</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4"/>
      <c r="B628" s="166" t="s">
        <v>681</v>
      </c>
      <c r="C628" s="165" t="s">
        <v>682</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4"/>
      <c r="B629" s="166" t="s">
        <v>683</v>
      </c>
      <c r="C629" s="165" t="s">
        <v>684</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4"/>
      <c r="B630" s="33" t="s">
        <v>685</v>
      </c>
      <c r="C630" s="165" t="s">
        <v>686</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4"/>
      <c r="B631" s="33" t="s">
        <v>687</v>
      </c>
      <c r="C631" s="165" t="s">
        <v>688</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4"/>
      <c r="B632" s="33" t="s">
        <v>689</v>
      </c>
      <c r="C632" s="34">
        <v>7603420</v>
      </c>
      <c r="D632" s="22"/>
      <c r="E632" s="482">
        <v>6.789</v>
      </c>
      <c r="F632" s="24"/>
      <c r="G632" s="24"/>
      <c r="H632" s="24"/>
      <c r="I632" s="24"/>
      <c r="J632" s="24"/>
      <c r="K632" s="24"/>
      <c r="L632" s="24"/>
      <c r="M632" s="24"/>
      <c r="N632" s="24"/>
      <c r="O632" s="482">
        <v>6.789</v>
      </c>
      <c r="P632" s="482">
        <v>6.789</v>
      </c>
      <c r="Q632" s="24"/>
      <c r="R632" s="24"/>
      <c r="S632" s="24"/>
      <c r="T632" s="22"/>
      <c r="U632" s="22"/>
    </row>
    <row r="633" spans="1:21" ht="22.5" hidden="1">
      <c r="A633" s="244"/>
      <c r="B633" s="33" t="s">
        <v>690</v>
      </c>
      <c r="C633" s="34">
        <v>7603444</v>
      </c>
      <c r="D633" s="22"/>
      <c r="E633" s="482">
        <v>909.515</v>
      </c>
      <c r="F633" s="24"/>
      <c r="G633" s="24"/>
      <c r="H633" s="24"/>
      <c r="I633" s="24"/>
      <c r="J633" s="24"/>
      <c r="K633" s="24"/>
      <c r="L633" s="24"/>
      <c r="M633" s="24"/>
      <c r="N633" s="24"/>
      <c r="O633" s="482">
        <v>909.515</v>
      </c>
      <c r="P633" s="482">
        <v>909.515</v>
      </c>
      <c r="Q633" s="24"/>
      <c r="R633" s="24"/>
      <c r="S633" s="24"/>
      <c r="T633" s="22"/>
      <c r="U633" s="22"/>
    </row>
    <row r="634" spans="1:21" ht="33.75" hidden="1">
      <c r="A634" s="244"/>
      <c r="B634" s="33" t="s">
        <v>691</v>
      </c>
      <c r="C634" s="34">
        <v>7603454</v>
      </c>
      <c r="D634" s="22"/>
      <c r="E634" s="482">
        <v>11.525</v>
      </c>
      <c r="F634" s="24"/>
      <c r="G634" s="24"/>
      <c r="H634" s="24"/>
      <c r="I634" s="24"/>
      <c r="J634" s="24"/>
      <c r="K634" s="24"/>
      <c r="L634" s="24"/>
      <c r="M634" s="24"/>
      <c r="N634" s="24"/>
      <c r="O634" s="482">
        <v>11.525</v>
      </c>
      <c r="P634" s="482">
        <v>11.525</v>
      </c>
      <c r="Q634" s="24"/>
      <c r="R634" s="24"/>
      <c r="S634" s="24"/>
      <c r="T634" s="22"/>
      <c r="U634" s="22"/>
    </row>
    <row r="635" spans="1:21" ht="22.5" hidden="1">
      <c r="A635" s="244"/>
      <c r="B635" s="33" t="s">
        <v>692</v>
      </c>
      <c r="C635" s="34">
        <v>7604503</v>
      </c>
      <c r="D635" s="22"/>
      <c r="E635" s="482">
        <v>2.445</v>
      </c>
      <c r="F635" s="24"/>
      <c r="G635" s="24"/>
      <c r="H635" s="24"/>
      <c r="I635" s="24"/>
      <c r="J635" s="24"/>
      <c r="K635" s="24"/>
      <c r="L635" s="24"/>
      <c r="M635" s="24"/>
      <c r="N635" s="24"/>
      <c r="O635" s="482">
        <v>2.445</v>
      </c>
      <c r="P635" s="482">
        <v>2.445</v>
      </c>
      <c r="Q635" s="24"/>
      <c r="R635" s="24"/>
      <c r="S635" s="24"/>
      <c r="T635" s="22"/>
      <c r="U635" s="22"/>
    </row>
    <row r="636" spans="1:21" ht="33.75" hidden="1">
      <c r="A636" s="244"/>
      <c r="B636" s="33" t="s">
        <v>693</v>
      </c>
      <c r="C636" s="34">
        <v>7604504</v>
      </c>
      <c r="D636" s="22"/>
      <c r="E636" s="482">
        <v>12.7378</v>
      </c>
      <c r="F636" s="24"/>
      <c r="G636" s="24"/>
      <c r="H636" s="24"/>
      <c r="I636" s="24"/>
      <c r="J636" s="24"/>
      <c r="K636" s="482">
        <v>12.7378</v>
      </c>
      <c r="L636" s="24"/>
      <c r="M636" s="24"/>
      <c r="N636" s="24"/>
      <c r="O636" s="24"/>
      <c r="P636" s="24"/>
      <c r="Q636" s="24"/>
      <c r="R636" s="24"/>
      <c r="S636" s="24"/>
      <c r="T636" s="22"/>
      <c r="U636" s="22"/>
    </row>
    <row r="637" spans="1:21" ht="11.25" hidden="1">
      <c r="A637" s="244"/>
      <c r="B637" s="33" t="s">
        <v>694</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4">
        <v>45</v>
      </c>
      <c r="B638" s="18" t="s">
        <v>695</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176</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4"/>
      <c r="B640" s="120" t="s">
        <v>696</v>
      </c>
      <c r="C640" s="122">
        <v>7573002</v>
      </c>
      <c r="D640" s="44">
        <v>2700</v>
      </c>
      <c r="E640" s="482">
        <v>2300</v>
      </c>
      <c r="F640" s="24">
        <v>2300</v>
      </c>
      <c r="G640" s="24"/>
      <c r="H640" s="24"/>
      <c r="I640" s="24"/>
      <c r="J640" s="24"/>
      <c r="K640" s="24"/>
      <c r="L640" s="24"/>
      <c r="M640" s="24"/>
      <c r="N640" s="24"/>
      <c r="O640" s="24"/>
      <c r="P640" s="24"/>
      <c r="Q640" s="24"/>
      <c r="R640" s="24"/>
      <c r="S640" s="24"/>
      <c r="T640" s="22"/>
      <c r="U640" s="22"/>
    </row>
    <row r="641" spans="1:21" ht="22.5" hidden="1">
      <c r="A641" s="244"/>
      <c r="B641" s="120" t="s">
        <v>697</v>
      </c>
      <c r="C641" s="122">
        <v>7614295</v>
      </c>
      <c r="D641" s="44">
        <v>600</v>
      </c>
      <c r="E641" s="482">
        <v>600</v>
      </c>
      <c r="F641" s="24">
        <v>600</v>
      </c>
      <c r="G641" s="24"/>
      <c r="H641" s="24"/>
      <c r="I641" s="24"/>
      <c r="J641" s="24"/>
      <c r="K641" s="24"/>
      <c r="L641" s="24"/>
      <c r="M641" s="24"/>
      <c r="N641" s="24"/>
      <c r="O641" s="24"/>
      <c r="P641" s="24"/>
      <c r="Q641" s="24"/>
      <c r="R641" s="24"/>
      <c r="S641" s="24"/>
      <c r="T641" s="22"/>
      <c r="U641" s="22"/>
    </row>
    <row r="642" spans="1:21" ht="11.25" hidden="1">
      <c r="A642" s="244"/>
      <c r="B642" s="120" t="s">
        <v>698</v>
      </c>
      <c r="C642" s="122">
        <v>7614296</v>
      </c>
      <c r="D642" s="44">
        <v>600</v>
      </c>
      <c r="E642" s="482">
        <v>500</v>
      </c>
      <c r="F642" s="24">
        <v>500</v>
      </c>
      <c r="G642" s="24"/>
      <c r="H642" s="24"/>
      <c r="I642" s="24"/>
      <c r="J642" s="24"/>
      <c r="K642" s="24"/>
      <c r="L642" s="24"/>
      <c r="M642" s="24"/>
      <c r="N642" s="24"/>
      <c r="O642" s="24"/>
      <c r="P642" s="24"/>
      <c r="Q642" s="24"/>
      <c r="R642" s="24"/>
      <c r="S642" s="24"/>
      <c r="T642" s="22"/>
      <c r="U642" s="22"/>
    </row>
    <row r="643" spans="1:21" ht="11.25" hidden="1">
      <c r="A643" s="244"/>
      <c r="B643" s="120" t="s">
        <v>699</v>
      </c>
      <c r="C643" s="122">
        <v>7617337</v>
      </c>
      <c r="D643" s="44">
        <v>600</v>
      </c>
      <c r="E643" s="482">
        <v>600</v>
      </c>
      <c r="F643" s="24">
        <v>600</v>
      </c>
      <c r="G643" s="24"/>
      <c r="H643" s="24"/>
      <c r="I643" s="24"/>
      <c r="J643" s="24"/>
      <c r="K643" s="24"/>
      <c r="L643" s="24"/>
      <c r="M643" s="24"/>
      <c r="N643" s="24"/>
      <c r="O643" s="24"/>
      <c r="P643" s="24"/>
      <c r="Q643" s="24"/>
      <c r="R643" s="24"/>
      <c r="S643" s="24"/>
      <c r="T643" s="22"/>
      <c r="U643" s="22"/>
    </row>
    <row r="644" spans="1:21" ht="22.5" hidden="1">
      <c r="A644" s="244"/>
      <c r="B644" s="45" t="s">
        <v>700</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4"/>
      <c r="B645" s="63" t="s">
        <v>701</v>
      </c>
      <c r="C645" s="34">
        <v>7268406</v>
      </c>
      <c r="D645" s="44">
        <v>39.365</v>
      </c>
      <c r="E645" s="482">
        <v>39.365</v>
      </c>
      <c r="F645" s="24"/>
      <c r="G645" s="24"/>
      <c r="H645" s="24"/>
      <c r="I645" s="24"/>
      <c r="J645" s="24"/>
      <c r="K645" s="24"/>
      <c r="L645" s="24"/>
      <c r="M645" s="24"/>
      <c r="N645" s="24"/>
      <c r="O645" s="482">
        <v>39.365</v>
      </c>
      <c r="P645" s="482">
        <v>39.365</v>
      </c>
      <c r="Q645" s="24"/>
      <c r="R645" s="24"/>
      <c r="S645" s="24"/>
      <c r="T645" s="22"/>
      <c r="U645" s="22"/>
    </row>
    <row r="646" spans="1:21" ht="56.25" hidden="1">
      <c r="A646" s="244"/>
      <c r="B646" s="49" t="s">
        <v>702</v>
      </c>
      <c r="C646" s="105" t="s">
        <v>703</v>
      </c>
      <c r="D646" s="22">
        <v>3500</v>
      </c>
      <c r="E646" s="482">
        <v>38.109</v>
      </c>
      <c r="F646" s="24"/>
      <c r="G646" s="24"/>
      <c r="H646" s="24"/>
      <c r="I646" s="24"/>
      <c r="J646" s="24"/>
      <c r="K646" s="24"/>
      <c r="L646" s="24"/>
      <c r="M646" s="24"/>
      <c r="N646" s="24"/>
      <c r="O646" s="482">
        <v>38.109</v>
      </c>
      <c r="P646" s="24"/>
      <c r="Q646" s="482">
        <v>38.109</v>
      </c>
      <c r="R646" s="24"/>
      <c r="S646" s="24"/>
      <c r="T646" s="22"/>
      <c r="U646" s="22"/>
    </row>
    <row r="647" spans="1:21" ht="11.25" hidden="1">
      <c r="A647" s="244"/>
      <c r="B647" s="49" t="s">
        <v>704</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4"/>
      <c r="B648" s="49" t="s">
        <v>705</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4"/>
      <c r="B649" s="49" t="s">
        <v>706</v>
      </c>
      <c r="C649" s="105" t="s">
        <v>707</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4"/>
      <c r="B650" s="33" t="s">
        <v>708</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4"/>
      <c r="B651" s="33" t="s">
        <v>709</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4"/>
      <c r="B652" s="33" t="s">
        <v>710</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163</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4"/>
      <c r="B654" s="33" t="s">
        <v>697</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4"/>
      <c r="B655" s="33" t="s">
        <v>698</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4"/>
      <c r="B656" s="33" t="s">
        <v>699</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4"/>
      <c r="B657" s="33" t="s">
        <v>711</v>
      </c>
      <c r="C657" s="34">
        <v>7619405</v>
      </c>
      <c r="D657" s="22"/>
      <c r="E657" s="24">
        <v>894.224</v>
      </c>
      <c r="F657" s="24"/>
      <c r="G657" s="24"/>
      <c r="H657" s="24"/>
      <c r="I657" s="24"/>
      <c r="J657" s="24"/>
      <c r="K657" s="24"/>
      <c r="L657" s="24"/>
      <c r="M657" s="24">
        <v>894.224</v>
      </c>
      <c r="N657" s="24"/>
      <c r="O657" s="24"/>
      <c r="P657" s="24"/>
      <c r="Q657" s="24"/>
      <c r="R657" s="24"/>
      <c r="S657" s="24"/>
      <c r="T657" s="22"/>
      <c r="U657" s="22"/>
      <c r="V657" s="478"/>
    </row>
    <row r="658" spans="1:21" s="41" customFormat="1" ht="22.5" hidden="1">
      <c r="A658" s="37"/>
      <c r="B658" s="38" t="s">
        <v>589</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712</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713</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714</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715</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716</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717</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718</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719</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720</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171</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721</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165</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722</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4"/>
      <c r="B672" s="82" t="s">
        <v>723</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4"/>
      <c r="B673" s="106" t="s">
        <v>724</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191</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4"/>
      <c r="B675" s="33" t="s">
        <v>725</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4"/>
      <c r="B676" s="33" t="s">
        <v>726</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4"/>
      <c r="B677" s="33" t="s">
        <v>727</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4"/>
      <c r="B678" s="33" t="s">
        <v>728</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4"/>
      <c r="B679" s="33" t="s">
        <v>729</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4"/>
      <c r="B680" s="33" t="s">
        <v>730</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4"/>
      <c r="B681" s="33" t="s">
        <v>731</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4"/>
      <c r="B682" s="33" t="s">
        <v>732</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4"/>
      <c r="B683" s="49" t="s">
        <v>733</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4"/>
      <c r="B684" s="49" t="s">
        <v>734</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4"/>
      <c r="B685" s="49" t="s">
        <v>735</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4"/>
      <c r="B686" s="49" t="s">
        <v>736</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4"/>
      <c r="B687" s="49" t="s">
        <v>737</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4"/>
      <c r="B688" s="33" t="s">
        <v>738</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4">
        <v>46</v>
      </c>
      <c r="B689" s="18" t="s">
        <v>739</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8</v>
      </c>
      <c r="B690" s="92" t="s">
        <v>84</v>
      </c>
      <c r="C690" s="92"/>
      <c r="D690" s="93">
        <v>46641.575</v>
      </c>
      <c r="E690" s="489">
        <v>33863.508</v>
      </c>
      <c r="F690" s="489">
        <v>13886.724999999999</v>
      </c>
      <c r="G690" s="489">
        <v>0</v>
      </c>
      <c r="H690" s="489">
        <v>0</v>
      </c>
      <c r="I690" s="489">
        <v>0</v>
      </c>
      <c r="J690" s="489">
        <v>0</v>
      </c>
      <c r="K690" s="489">
        <v>1.661</v>
      </c>
      <c r="L690" s="489">
        <v>861.456</v>
      </c>
      <c r="M690" s="489">
        <v>0</v>
      </c>
      <c r="N690" s="489">
        <v>51.158</v>
      </c>
      <c r="O690" s="489">
        <v>16160.909</v>
      </c>
      <c r="P690" s="489">
        <v>10468.799</v>
      </c>
      <c r="Q690" s="489">
        <v>0</v>
      </c>
      <c r="R690" s="489">
        <v>2901.599</v>
      </c>
      <c r="S690" s="489">
        <v>0</v>
      </c>
      <c r="T690" s="93">
        <v>0</v>
      </c>
      <c r="U690" s="93"/>
    </row>
    <row r="691" spans="1:21" s="41" customFormat="1" ht="11.25" hidden="1">
      <c r="A691" s="37"/>
      <c r="B691" s="38" t="s">
        <v>176</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4"/>
      <c r="B692" s="33" t="s">
        <v>740</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4"/>
      <c r="B693" s="120" t="s">
        <v>741</v>
      </c>
      <c r="C693" s="122">
        <v>7570223</v>
      </c>
      <c r="D693" s="44">
        <v>1300</v>
      </c>
      <c r="E693" s="482">
        <v>1250</v>
      </c>
      <c r="F693" s="24">
        <v>1250</v>
      </c>
      <c r="G693" s="24"/>
      <c r="H693" s="24"/>
      <c r="I693" s="24"/>
      <c r="J693" s="24"/>
      <c r="K693" s="24"/>
      <c r="L693" s="24"/>
      <c r="M693" s="24"/>
      <c r="N693" s="24"/>
      <c r="O693" s="24"/>
      <c r="P693" s="24"/>
      <c r="Q693" s="24"/>
      <c r="R693" s="24"/>
      <c r="S693" s="24"/>
      <c r="T693" s="22"/>
      <c r="U693" s="22"/>
    </row>
    <row r="694" spans="1:21" ht="22.5" hidden="1">
      <c r="A694" s="244"/>
      <c r="B694" s="120" t="s">
        <v>742</v>
      </c>
      <c r="C694" s="122">
        <v>7570238</v>
      </c>
      <c r="D694" s="44">
        <v>1300</v>
      </c>
      <c r="E694" s="482">
        <v>1250</v>
      </c>
      <c r="F694" s="24">
        <v>1250</v>
      </c>
      <c r="G694" s="24"/>
      <c r="H694" s="24"/>
      <c r="I694" s="24"/>
      <c r="J694" s="24"/>
      <c r="K694" s="24"/>
      <c r="L694" s="24"/>
      <c r="M694" s="24"/>
      <c r="N694" s="24"/>
      <c r="O694" s="24"/>
      <c r="P694" s="24"/>
      <c r="Q694" s="24"/>
      <c r="R694" s="24"/>
      <c r="S694" s="24"/>
      <c r="T694" s="22"/>
      <c r="U694" s="22"/>
    </row>
    <row r="695" spans="1:21" ht="11.25" hidden="1">
      <c r="A695" s="244"/>
      <c r="B695" s="120" t="s">
        <v>743</v>
      </c>
      <c r="C695" s="122">
        <v>7570215</v>
      </c>
      <c r="D695" s="44">
        <v>1300</v>
      </c>
      <c r="E695" s="482">
        <v>1250</v>
      </c>
      <c r="F695" s="24">
        <v>1250</v>
      </c>
      <c r="G695" s="24"/>
      <c r="H695" s="24"/>
      <c r="I695" s="24"/>
      <c r="J695" s="24"/>
      <c r="K695" s="24"/>
      <c r="L695" s="24"/>
      <c r="M695" s="24"/>
      <c r="N695" s="24"/>
      <c r="O695" s="24"/>
      <c r="P695" s="24"/>
      <c r="Q695" s="24"/>
      <c r="R695" s="24"/>
      <c r="S695" s="24"/>
      <c r="T695" s="22"/>
      <c r="U695" s="22"/>
    </row>
    <row r="696" spans="1:21" ht="33.75" hidden="1">
      <c r="A696" s="244"/>
      <c r="B696" s="120" t="s">
        <v>744</v>
      </c>
      <c r="C696" s="122">
        <v>7608259</v>
      </c>
      <c r="D696" s="44">
        <v>500</v>
      </c>
      <c r="E696" s="482">
        <v>400</v>
      </c>
      <c r="F696" s="24">
        <v>400</v>
      </c>
      <c r="G696" s="24"/>
      <c r="H696" s="24"/>
      <c r="I696" s="24"/>
      <c r="J696" s="24"/>
      <c r="K696" s="24"/>
      <c r="L696" s="24"/>
      <c r="M696" s="24"/>
      <c r="N696" s="24"/>
      <c r="O696" s="24"/>
      <c r="P696" s="24"/>
      <c r="Q696" s="24"/>
      <c r="R696" s="24"/>
      <c r="S696" s="24"/>
      <c r="T696" s="22"/>
      <c r="U696" s="22"/>
    </row>
    <row r="697" spans="1:21" ht="11.25" hidden="1">
      <c r="A697" s="244"/>
      <c r="B697" s="120" t="s">
        <v>745</v>
      </c>
      <c r="C697" s="122">
        <v>7608256</v>
      </c>
      <c r="D697" s="44">
        <v>500</v>
      </c>
      <c r="E697" s="482">
        <v>500</v>
      </c>
      <c r="F697" s="24">
        <v>500</v>
      </c>
      <c r="G697" s="24"/>
      <c r="H697" s="24"/>
      <c r="I697" s="24"/>
      <c r="J697" s="24"/>
      <c r="K697" s="24"/>
      <c r="L697" s="24"/>
      <c r="M697" s="24"/>
      <c r="N697" s="24"/>
      <c r="O697" s="24"/>
      <c r="P697" s="24"/>
      <c r="Q697" s="24"/>
      <c r="R697" s="24"/>
      <c r="S697" s="24"/>
      <c r="T697" s="22"/>
      <c r="U697" s="22"/>
    </row>
    <row r="698" spans="1:21" ht="22.5" hidden="1">
      <c r="A698" s="244"/>
      <c r="B698" s="120" t="s">
        <v>746</v>
      </c>
      <c r="C698" s="122">
        <v>7608251</v>
      </c>
      <c r="D698" s="44">
        <v>300</v>
      </c>
      <c r="E698" s="482">
        <v>0</v>
      </c>
      <c r="F698" s="24">
        <v>0</v>
      </c>
      <c r="G698" s="24"/>
      <c r="H698" s="24"/>
      <c r="I698" s="24"/>
      <c r="J698" s="24"/>
      <c r="K698" s="24"/>
      <c r="L698" s="24"/>
      <c r="M698" s="24"/>
      <c r="N698" s="24"/>
      <c r="O698" s="24"/>
      <c r="P698" s="24"/>
      <c r="Q698" s="24"/>
      <c r="R698" s="24"/>
      <c r="S698" s="24"/>
      <c r="T698" s="22"/>
      <c r="U698" s="22"/>
    </row>
    <row r="699" spans="1:21" ht="33.75" hidden="1">
      <c r="A699" s="244"/>
      <c r="B699" s="63" t="s">
        <v>747</v>
      </c>
      <c r="C699" s="34">
        <v>7393177</v>
      </c>
      <c r="D699" s="44">
        <v>79.575</v>
      </c>
      <c r="E699" s="482">
        <v>79.575</v>
      </c>
      <c r="F699" s="24"/>
      <c r="G699" s="24"/>
      <c r="H699" s="24"/>
      <c r="I699" s="24"/>
      <c r="J699" s="24"/>
      <c r="K699" s="24"/>
      <c r="L699" s="24"/>
      <c r="M699" s="24"/>
      <c r="N699" s="24"/>
      <c r="O699" s="482">
        <v>79.575</v>
      </c>
      <c r="P699" s="482">
        <v>79.575</v>
      </c>
      <c r="Q699" s="24"/>
      <c r="R699" s="24"/>
      <c r="S699" s="24"/>
      <c r="T699" s="22"/>
      <c r="U699" s="22"/>
    </row>
    <row r="700" spans="1:21" ht="56.25" hidden="1">
      <c r="A700" s="244"/>
      <c r="B700" s="49" t="s">
        <v>748</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4"/>
      <c r="B701" s="168" t="s">
        <v>749</v>
      </c>
      <c r="C701" s="123">
        <v>7439359</v>
      </c>
      <c r="D701" s="22">
        <v>1868</v>
      </c>
      <c r="E701" s="482">
        <v>1701.79</v>
      </c>
      <c r="F701" s="24"/>
      <c r="G701" s="24"/>
      <c r="H701" s="24"/>
      <c r="I701" s="24"/>
      <c r="J701" s="24"/>
      <c r="K701" s="24"/>
      <c r="L701" s="24"/>
      <c r="M701" s="24"/>
      <c r="N701" s="24"/>
      <c r="O701" s="482">
        <v>1701.79</v>
      </c>
      <c r="P701" s="24"/>
      <c r="Q701" s="24"/>
      <c r="R701" s="24"/>
      <c r="S701" s="24"/>
      <c r="T701" s="22"/>
      <c r="U701" s="22"/>
    </row>
    <row r="702" spans="1:21" ht="11.25" hidden="1">
      <c r="A702" s="244"/>
      <c r="B702" s="49" t="s">
        <v>750</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4"/>
      <c r="B703" s="49" t="s">
        <v>751</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4"/>
      <c r="B704" s="49" t="s">
        <v>752</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163</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4"/>
      <c r="B706" s="33" t="s">
        <v>744</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4"/>
      <c r="B707" s="33" t="s">
        <v>745</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4"/>
      <c r="B708" s="33" t="s">
        <v>746</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164</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4"/>
      <c r="B710" s="33" t="s">
        <v>753</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589</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4"/>
      <c r="B712" s="33" t="s">
        <v>754</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4"/>
      <c r="B713" s="33" t="s">
        <v>755</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4"/>
      <c r="B714" s="33" t="s">
        <v>756</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4"/>
      <c r="B715" s="33" t="s">
        <v>757</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4"/>
      <c r="B716" s="33" t="s">
        <v>758</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4"/>
      <c r="B717" s="33" t="s">
        <v>759</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4"/>
      <c r="B718" s="33" t="s">
        <v>760</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165</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4"/>
      <c r="B720" s="140" t="s">
        <v>761</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4"/>
      <c r="B721" s="33" t="s">
        <v>762</v>
      </c>
      <c r="C721" s="51" t="s">
        <v>763</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4"/>
      <c r="B722" s="33" t="s">
        <v>764</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191</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4"/>
      <c r="B724" s="33" t="s">
        <v>765</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4"/>
      <c r="B725" s="33" t="s">
        <v>766</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4"/>
      <c r="B726" s="33" t="s">
        <v>767</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4"/>
      <c r="B727" s="33" t="s">
        <v>768</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4"/>
      <c r="B728" s="33" t="s">
        <v>769</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4"/>
      <c r="B729" s="33" t="s">
        <v>770</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4"/>
      <c r="B730" s="33" t="s">
        <v>771</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4"/>
      <c r="B731" s="33" t="s">
        <v>772</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4"/>
      <c r="B732" s="33" t="s">
        <v>773</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4"/>
      <c r="B733" s="33" t="s">
        <v>774</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4"/>
      <c r="B734" s="33" t="s">
        <v>775</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4"/>
      <c r="B735" s="33" t="s">
        <v>776</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4"/>
      <c r="B736" s="33" t="s">
        <v>777</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4"/>
      <c r="B737" s="166" t="s">
        <v>778</v>
      </c>
      <c r="C737" s="169" t="s">
        <v>779</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4"/>
      <c r="B738" s="163" t="s">
        <v>780</v>
      </c>
      <c r="C738" s="169" t="s">
        <v>781</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4"/>
      <c r="B739" s="166" t="s">
        <v>782</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4"/>
      <c r="B740" s="163" t="s">
        <v>783</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4"/>
      <c r="B741" s="163" t="s">
        <v>784</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8</v>
      </c>
      <c r="B742" s="92" t="s">
        <v>169</v>
      </c>
      <c r="C742" s="92"/>
      <c r="D742" s="93">
        <v>2300</v>
      </c>
      <c r="E742" s="489">
        <v>3808</v>
      </c>
      <c r="F742" s="489">
        <v>0</v>
      </c>
      <c r="G742" s="489">
        <v>0</v>
      </c>
      <c r="H742" s="489">
        <v>0</v>
      </c>
      <c r="I742" s="489">
        <v>0</v>
      </c>
      <c r="J742" s="489">
        <v>0</v>
      </c>
      <c r="K742" s="489">
        <v>0</v>
      </c>
      <c r="L742" s="489">
        <v>0</v>
      </c>
      <c r="M742" s="489">
        <v>0</v>
      </c>
      <c r="N742" s="489">
        <v>0</v>
      </c>
      <c r="O742" s="489">
        <v>3808</v>
      </c>
      <c r="P742" s="489">
        <v>0</v>
      </c>
      <c r="Q742" s="489">
        <v>0</v>
      </c>
      <c r="R742" s="489">
        <v>0</v>
      </c>
      <c r="S742" s="489">
        <v>0</v>
      </c>
      <c r="T742" s="93">
        <v>0</v>
      </c>
      <c r="U742" s="93"/>
    </row>
    <row r="743" spans="1:21" ht="33.75" hidden="1">
      <c r="A743" s="244"/>
      <c r="B743" s="140" t="s">
        <v>761</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4"/>
      <c r="B744" s="170" t="s">
        <v>785</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4">
        <v>47</v>
      </c>
      <c r="B745" s="18" t="s">
        <v>786</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8</v>
      </c>
      <c r="B746" s="92" t="s">
        <v>84</v>
      </c>
      <c r="C746" s="92"/>
      <c r="D746" s="93">
        <v>33705.384</v>
      </c>
      <c r="E746" s="489">
        <v>33950.738000000005</v>
      </c>
      <c r="F746" s="489">
        <v>6278.867</v>
      </c>
      <c r="G746" s="489">
        <v>0</v>
      </c>
      <c r="H746" s="489">
        <v>0</v>
      </c>
      <c r="I746" s="489">
        <v>0</v>
      </c>
      <c r="J746" s="489">
        <v>0</v>
      </c>
      <c r="K746" s="489">
        <v>0</v>
      </c>
      <c r="L746" s="489">
        <v>0</v>
      </c>
      <c r="M746" s="489">
        <v>0</v>
      </c>
      <c r="N746" s="489">
        <v>6578.214</v>
      </c>
      <c r="O746" s="489">
        <v>21093.657</v>
      </c>
      <c r="P746" s="489">
        <v>14597.314</v>
      </c>
      <c r="Q746" s="489">
        <v>2830.241</v>
      </c>
      <c r="R746" s="489">
        <v>0</v>
      </c>
      <c r="S746" s="489">
        <v>0</v>
      </c>
      <c r="T746" s="93">
        <v>0</v>
      </c>
      <c r="U746" s="93"/>
    </row>
    <row r="747" spans="1:21" s="41" customFormat="1" ht="11.25" hidden="1">
      <c r="A747" s="37"/>
      <c r="B747" s="38" t="s">
        <v>176</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4"/>
      <c r="B748" s="33" t="s">
        <v>787</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4"/>
      <c r="B749" s="120" t="s">
        <v>788</v>
      </c>
      <c r="C749" s="88">
        <v>7571396</v>
      </c>
      <c r="D749" s="44">
        <v>1700</v>
      </c>
      <c r="E749" s="482">
        <v>1700</v>
      </c>
      <c r="F749" s="24">
        <v>1700</v>
      </c>
      <c r="G749" s="24"/>
      <c r="H749" s="24"/>
      <c r="I749" s="24"/>
      <c r="J749" s="24"/>
      <c r="K749" s="24"/>
      <c r="L749" s="24"/>
      <c r="M749" s="24"/>
      <c r="N749" s="24"/>
      <c r="O749" s="24"/>
      <c r="P749" s="24"/>
      <c r="Q749" s="24"/>
      <c r="R749" s="24"/>
      <c r="S749" s="24"/>
      <c r="T749" s="22"/>
      <c r="U749" s="22"/>
    </row>
    <row r="750" spans="1:21" ht="33.75" hidden="1">
      <c r="A750" s="244"/>
      <c r="B750" s="120" t="s">
        <v>789</v>
      </c>
      <c r="C750" s="88">
        <v>7615892</v>
      </c>
      <c r="D750" s="44">
        <v>900</v>
      </c>
      <c r="E750" s="482">
        <v>900</v>
      </c>
      <c r="F750" s="24">
        <v>900</v>
      </c>
      <c r="G750" s="24"/>
      <c r="H750" s="24"/>
      <c r="I750" s="24"/>
      <c r="J750" s="24"/>
      <c r="K750" s="24"/>
      <c r="L750" s="24"/>
      <c r="M750" s="24"/>
      <c r="N750" s="24"/>
      <c r="O750" s="24"/>
      <c r="P750" s="24"/>
      <c r="Q750" s="24"/>
      <c r="R750" s="24"/>
      <c r="S750" s="24"/>
      <c r="T750" s="22"/>
      <c r="U750" s="22"/>
    </row>
    <row r="751" spans="1:21" ht="33.75" hidden="1">
      <c r="A751" s="244"/>
      <c r="B751" s="120" t="s">
        <v>790</v>
      </c>
      <c r="C751" s="88">
        <v>7615889</v>
      </c>
      <c r="D751" s="44">
        <v>700</v>
      </c>
      <c r="E751" s="482">
        <v>515.459</v>
      </c>
      <c r="F751" s="24">
        <v>515.459</v>
      </c>
      <c r="G751" s="24"/>
      <c r="H751" s="24"/>
      <c r="I751" s="24"/>
      <c r="J751" s="24"/>
      <c r="K751" s="24"/>
      <c r="L751" s="24"/>
      <c r="M751" s="24"/>
      <c r="N751" s="24"/>
      <c r="O751" s="24"/>
      <c r="P751" s="24"/>
      <c r="Q751" s="24"/>
      <c r="R751" s="24"/>
      <c r="S751" s="24"/>
      <c r="T751" s="22"/>
      <c r="U751" s="22"/>
    </row>
    <row r="752" spans="1:21" ht="45" hidden="1">
      <c r="A752" s="244"/>
      <c r="B752" s="120" t="s">
        <v>791</v>
      </c>
      <c r="C752" s="88">
        <v>7615890</v>
      </c>
      <c r="D752" s="44">
        <v>700</v>
      </c>
      <c r="E752" s="482">
        <v>563.408</v>
      </c>
      <c r="F752" s="24">
        <v>563.408</v>
      </c>
      <c r="G752" s="24"/>
      <c r="H752" s="24"/>
      <c r="I752" s="24"/>
      <c r="J752" s="24"/>
      <c r="K752" s="24"/>
      <c r="L752" s="24"/>
      <c r="M752" s="24"/>
      <c r="N752" s="24"/>
      <c r="O752" s="24"/>
      <c r="P752" s="24"/>
      <c r="Q752" s="24"/>
      <c r="R752" s="24"/>
      <c r="S752" s="24"/>
      <c r="T752" s="22"/>
      <c r="U752" s="22"/>
    </row>
    <row r="753" spans="1:21" ht="11.25" hidden="1">
      <c r="A753" s="244"/>
      <c r="B753" s="120" t="s">
        <v>792</v>
      </c>
      <c r="C753" s="88">
        <v>7615891</v>
      </c>
      <c r="D753" s="44">
        <v>700</v>
      </c>
      <c r="E753" s="482">
        <v>700</v>
      </c>
      <c r="F753" s="24">
        <v>700</v>
      </c>
      <c r="G753" s="24"/>
      <c r="H753" s="24"/>
      <c r="I753" s="24"/>
      <c r="J753" s="24"/>
      <c r="K753" s="24"/>
      <c r="L753" s="24"/>
      <c r="M753" s="24"/>
      <c r="N753" s="24"/>
      <c r="O753" s="24"/>
      <c r="P753" s="24"/>
      <c r="Q753" s="24"/>
      <c r="R753" s="24"/>
      <c r="S753" s="24"/>
      <c r="T753" s="22"/>
      <c r="U753" s="22"/>
    </row>
    <row r="754" spans="1:21" ht="22.5" hidden="1">
      <c r="A754" s="244"/>
      <c r="B754" s="49" t="s">
        <v>793</v>
      </c>
      <c r="C754" s="88">
        <v>7009202</v>
      </c>
      <c r="D754" s="44">
        <v>613.384</v>
      </c>
      <c r="E754" s="482">
        <v>613.384</v>
      </c>
      <c r="F754" s="24"/>
      <c r="G754" s="24"/>
      <c r="H754" s="24"/>
      <c r="I754" s="24"/>
      <c r="J754" s="24"/>
      <c r="K754" s="24"/>
      <c r="L754" s="24"/>
      <c r="M754" s="24"/>
      <c r="N754" s="24"/>
      <c r="O754" s="482">
        <v>613.384</v>
      </c>
      <c r="P754" s="24"/>
      <c r="Q754" s="482">
        <v>613.384</v>
      </c>
      <c r="R754" s="24"/>
      <c r="S754" s="24"/>
      <c r="T754" s="22"/>
      <c r="U754" s="22"/>
    </row>
    <row r="755" spans="1:21" ht="22.5" hidden="1">
      <c r="A755" s="244"/>
      <c r="B755" s="49" t="s">
        <v>794</v>
      </c>
      <c r="C755" s="88">
        <v>7009204</v>
      </c>
      <c r="D755" s="44">
        <v>1020</v>
      </c>
      <c r="E755" s="482">
        <v>1005.857</v>
      </c>
      <c r="F755" s="24"/>
      <c r="G755" s="24"/>
      <c r="H755" s="24"/>
      <c r="I755" s="24"/>
      <c r="J755" s="24"/>
      <c r="K755" s="24"/>
      <c r="L755" s="24"/>
      <c r="M755" s="24"/>
      <c r="N755" s="24"/>
      <c r="O755" s="482">
        <v>1005.857</v>
      </c>
      <c r="P755" s="24"/>
      <c r="Q755" s="482">
        <v>1005.857</v>
      </c>
      <c r="R755" s="24"/>
      <c r="S755" s="24"/>
      <c r="T755" s="22"/>
      <c r="U755" s="22"/>
    </row>
    <row r="756" spans="1:21" ht="33.75" hidden="1">
      <c r="A756" s="244"/>
      <c r="B756" s="49" t="s">
        <v>795</v>
      </c>
      <c r="C756" s="88">
        <v>7305399</v>
      </c>
      <c r="D756" s="44">
        <v>1211</v>
      </c>
      <c r="E756" s="482">
        <v>1211</v>
      </c>
      <c r="F756" s="24"/>
      <c r="G756" s="24"/>
      <c r="H756" s="24"/>
      <c r="I756" s="24"/>
      <c r="J756" s="24"/>
      <c r="K756" s="24"/>
      <c r="L756" s="24"/>
      <c r="M756" s="24"/>
      <c r="N756" s="24"/>
      <c r="O756" s="482">
        <v>1211</v>
      </c>
      <c r="P756" s="24"/>
      <c r="Q756" s="482">
        <v>1211</v>
      </c>
      <c r="R756" s="24"/>
      <c r="S756" s="24"/>
      <c r="T756" s="22"/>
      <c r="U756" s="22"/>
    </row>
    <row r="757" spans="1:21" ht="22.5" hidden="1">
      <c r="A757" s="244"/>
      <c r="B757" s="49" t="s">
        <v>796</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4"/>
      <c r="B758" s="49" t="s">
        <v>797</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4"/>
      <c r="B759" s="33" t="s">
        <v>798</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163</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4"/>
      <c r="B761" s="33" t="s">
        <v>799</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4"/>
      <c r="B762" s="33" t="s">
        <v>790</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4"/>
      <c r="B763" s="33" t="s">
        <v>791</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4"/>
      <c r="B764" s="33" t="s">
        <v>792</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165</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4"/>
      <c r="B766" s="82" t="s">
        <v>800</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4"/>
      <c r="B767" s="171" t="s">
        <v>801</v>
      </c>
      <c r="C767" s="105" t="s">
        <v>802</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4"/>
      <c r="B768" s="33" t="s">
        <v>803</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4"/>
      <c r="B769" s="33" t="s">
        <v>796</v>
      </c>
      <c r="C769" s="34">
        <v>7328722</v>
      </c>
      <c r="D769" s="22"/>
      <c r="E769" s="482">
        <v>164.9</v>
      </c>
      <c r="F769" s="24"/>
      <c r="G769" s="24"/>
      <c r="H769" s="24"/>
      <c r="I769" s="24"/>
      <c r="J769" s="24"/>
      <c r="K769" s="24"/>
      <c r="L769" s="24"/>
      <c r="M769" s="24"/>
      <c r="N769" s="24"/>
      <c r="O769" s="482">
        <v>164.9</v>
      </c>
      <c r="P769" s="24"/>
      <c r="Q769" s="24"/>
      <c r="R769" s="24"/>
      <c r="S769" s="24"/>
      <c r="T769" s="22"/>
      <c r="U769" s="22"/>
    </row>
    <row r="770" spans="1:21" s="41" customFormat="1" ht="11.25">
      <c r="A770" s="91" t="s">
        <v>8</v>
      </c>
      <c r="B770" s="92" t="s">
        <v>169</v>
      </c>
      <c r="C770" s="92"/>
      <c r="D770" s="93">
        <v>3112</v>
      </c>
      <c r="E770" s="489">
        <v>0</v>
      </c>
      <c r="F770" s="489">
        <v>0</v>
      </c>
      <c r="G770" s="489">
        <v>0</v>
      </c>
      <c r="H770" s="489">
        <v>0</v>
      </c>
      <c r="I770" s="489">
        <v>0</v>
      </c>
      <c r="J770" s="489">
        <v>0</v>
      </c>
      <c r="K770" s="489">
        <v>0</v>
      </c>
      <c r="L770" s="489">
        <v>0</v>
      </c>
      <c r="M770" s="489">
        <v>0</v>
      </c>
      <c r="N770" s="489">
        <v>0</v>
      </c>
      <c r="O770" s="489">
        <v>0</v>
      </c>
      <c r="P770" s="489">
        <v>0</v>
      </c>
      <c r="Q770" s="489">
        <v>0</v>
      </c>
      <c r="R770" s="489">
        <v>0</v>
      </c>
      <c r="S770" s="489">
        <v>0</v>
      </c>
      <c r="T770" s="93">
        <v>0</v>
      </c>
      <c r="U770" s="93"/>
    </row>
    <row r="771" spans="1:21" ht="33.75" hidden="1">
      <c r="A771" s="244"/>
      <c r="B771" s="171" t="s">
        <v>801</v>
      </c>
      <c r="C771" s="105" t="s">
        <v>802</v>
      </c>
      <c r="D771" s="22">
        <v>3112</v>
      </c>
      <c r="E771" s="24">
        <v>0</v>
      </c>
      <c r="F771" s="24"/>
      <c r="G771" s="24"/>
      <c r="H771" s="24"/>
      <c r="I771" s="24"/>
      <c r="J771" s="24"/>
      <c r="K771" s="24"/>
      <c r="L771" s="24"/>
      <c r="M771" s="24"/>
      <c r="N771" s="24"/>
      <c r="O771" s="24"/>
      <c r="P771" s="24"/>
      <c r="Q771" s="24"/>
      <c r="R771" s="24"/>
      <c r="S771" s="24"/>
      <c r="T771" s="22"/>
      <c r="U771" s="22"/>
    </row>
    <row r="772" spans="1:21" ht="21">
      <c r="A772" s="244">
        <v>48</v>
      </c>
      <c r="B772" s="18" t="s">
        <v>804</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8</v>
      </c>
      <c r="B773" s="92" t="s">
        <v>84</v>
      </c>
      <c r="C773" s="92"/>
      <c r="D773" s="93">
        <v>53646.621</v>
      </c>
      <c r="E773" s="489">
        <v>47349.073000000004</v>
      </c>
      <c r="F773" s="489">
        <v>6831.531000000001</v>
      </c>
      <c r="G773" s="489">
        <v>0</v>
      </c>
      <c r="H773" s="489">
        <v>0</v>
      </c>
      <c r="I773" s="489">
        <v>0</v>
      </c>
      <c r="J773" s="489">
        <v>200</v>
      </c>
      <c r="K773" s="489">
        <v>0</v>
      </c>
      <c r="L773" s="489">
        <v>0</v>
      </c>
      <c r="M773" s="489">
        <v>0</v>
      </c>
      <c r="N773" s="489">
        <v>0</v>
      </c>
      <c r="O773" s="489">
        <v>37847.541999999994</v>
      </c>
      <c r="P773" s="489">
        <v>12536.051</v>
      </c>
      <c r="Q773" s="489">
        <v>5333.072</v>
      </c>
      <c r="R773" s="489">
        <v>2470</v>
      </c>
      <c r="S773" s="489">
        <v>0</v>
      </c>
      <c r="T773" s="93">
        <v>0</v>
      </c>
      <c r="U773" s="93"/>
    </row>
    <row r="774" spans="1:21" s="46" customFormat="1" ht="11.25" hidden="1">
      <c r="A774" s="37"/>
      <c r="B774" s="38" t="s">
        <v>176</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4"/>
      <c r="B775" s="144" t="s">
        <v>805</v>
      </c>
      <c r="C775" s="47">
        <v>7581421</v>
      </c>
      <c r="D775" s="44">
        <v>1500</v>
      </c>
      <c r="E775" s="482">
        <v>1384.991</v>
      </c>
      <c r="F775" s="24">
        <v>1384.991</v>
      </c>
      <c r="G775" s="24"/>
      <c r="H775" s="24"/>
      <c r="I775" s="24"/>
      <c r="J775" s="24"/>
      <c r="K775" s="24"/>
      <c r="L775" s="24"/>
      <c r="M775" s="24"/>
      <c r="N775" s="24"/>
      <c r="O775" s="24"/>
      <c r="P775" s="24"/>
      <c r="Q775" s="24"/>
      <c r="R775" s="24"/>
      <c r="S775" s="24"/>
      <c r="T775" s="22"/>
      <c r="U775" s="22"/>
    </row>
    <row r="776" spans="1:21" ht="22.5" hidden="1">
      <c r="A776" s="244"/>
      <c r="B776" s="144" t="s">
        <v>806</v>
      </c>
      <c r="C776" s="47">
        <v>7581420</v>
      </c>
      <c r="D776" s="44">
        <v>2000</v>
      </c>
      <c r="E776" s="482">
        <v>2000</v>
      </c>
      <c r="F776" s="24">
        <v>2000</v>
      </c>
      <c r="G776" s="24"/>
      <c r="H776" s="24"/>
      <c r="I776" s="24"/>
      <c r="J776" s="24"/>
      <c r="K776" s="24"/>
      <c r="L776" s="24"/>
      <c r="M776" s="24"/>
      <c r="N776" s="24"/>
      <c r="O776" s="24"/>
      <c r="P776" s="24"/>
      <c r="Q776" s="24"/>
      <c r="R776" s="24"/>
      <c r="S776" s="24"/>
      <c r="T776" s="22"/>
      <c r="U776" s="22"/>
    </row>
    <row r="777" spans="1:21" ht="11.25" hidden="1">
      <c r="A777" s="244"/>
      <c r="B777" s="144" t="s">
        <v>807</v>
      </c>
      <c r="C777" s="88">
        <v>7624516</v>
      </c>
      <c r="D777" s="44">
        <v>500</v>
      </c>
      <c r="E777" s="482">
        <v>500</v>
      </c>
      <c r="F777" s="24">
        <v>500</v>
      </c>
      <c r="G777" s="24"/>
      <c r="H777" s="24"/>
      <c r="I777" s="24"/>
      <c r="J777" s="24"/>
      <c r="K777" s="24"/>
      <c r="L777" s="24"/>
      <c r="M777" s="24"/>
      <c r="N777" s="24"/>
      <c r="O777" s="24"/>
      <c r="P777" s="24"/>
      <c r="Q777" s="24"/>
      <c r="R777" s="24"/>
      <c r="S777" s="24"/>
      <c r="T777" s="22"/>
      <c r="U777" s="22"/>
    </row>
    <row r="778" spans="1:21" ht="11.25" hidden="1">
      <c r="A778" s="244"/>
      <c r="B778" s="144" t="s">
        <v>808</v>
      </c>
      <c r="C778" s="88">
        <v>7624561</v>
      </c>
      <c r="D778" s="44">
        <v>500</v>
      </c>
      <c r="E778" s="482">
        <v>500</v>
      </c>
      <c r="F778" s="24">
        <v>500</v>
      </c>
      <c r="G778" s="24"/>
      <c r="H778" s="24"/>
      <c r="I778" s="24"/>
      <c r="J778" s="24"/>
      <c r="K778" s="24"/>
      <c r="L778" s="24"/>
      <c r="M778" s="24"/>
      <c r="N778" s="24"/>
      <c r="O778" s="24"/>
      <c r="P778" s="24"/>
      <c r="Q778" s="24"/>
      <c r="R778" s="24"/>
      <c r="S778" s="24"/>
      <c r="T778" s="22"/>
      <c r="U778" s="22"/>
    </row>
    <row r="779" spans="1:21" ht="22.5" hidden="1">
      <c r="A779" s="244"/>
      <c r="B779" s="144" t="s">
        <v>809</v>
      </c>
      <c r="C779" s="88">
        <v>7630138</v>
      </c>
      <c r="D779" s="44">
        <v>500</v>
      </c>
      <c r="E779" s="482">
        <v>500</v>
      </c>
      <c r="F779" s="24">
        <v>500</v>
      </c>
      <c r="G779" s="24"/>
      <c r="H779" s="24"/>
      <c r="I779" s="24"/>
      <c r="J779" s="24"/>
      <c r="K779" s="24"/>
      <c r="L779" s="24"/>
      <c r="M779" s="24"/>
      <c r="N779" s="24"/>
      <c r="O779" s="24"/>
      <c r="P779" s="24"/>
      <c r="Q779" s="24"/>
      <c r="R779" s="24"/>
      <c r="S779" s="24"/>
      <c r="T779" s="22"/>
      <c r="U779" s="22"/>
    </row>
    <row r="780" spans="1:21" ht="56.25" hidden="1">
      <c r="A780" s="244"/>
      <c r="B780" s="104" t="s">
        <v>810</v>
      </c>
      <c r="C780" s="105" t="s">
        <v>811</v>
      </c>
      <c r="D780" s="44">
        <v>1654.621</v>
      </c>
      <c r="E780" s="482">
        <v>1654.621</v>
      </c>
      <c r="F780" s="24"/>
      <c r="G780" s="24"/>
      <c r="H780" s="24"/>
      <c r="I780" s="24"/>
      <c r="J780" s="24"/>
      <c r="K780" s="24"/>
      <c r="L780" s="24"/>
      <c r="M780" s="24"/>
      <c r="N780" s="24"/>
      <c r="O780" s="482">
        <v>1654.621</v>
      </c>
      <c r="P780" s="24"/>
      <c r="Q780" s="24"/>
      <c r="R780" s="24"/>
      <c r="S780" s="24"/>
      <c r="T780" s="22"/>
      <c r="U780" s="22"/>
    </row>
    <row r="781" spans="1:21" ht="11.25" hidden="1">
      <c r="A781" s="244"/>
      <c r="B781" s="49" t="s">
        <v>812</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4"/>
      <c r="B782" s="49" t="s">
        <v>813</v>
      </c>
      <c r="C782" s="88">
        <v>7398858</v>
      </c>
      <c r="D782" s="44">
        <v>116.737</v>
      </c>
      <c r="E782" s="482">
        <v>116.04</v>
      </c>
      <c r="F782" s="24"/>
      <c r="G782" s="24"/>
      <c r="H782" s="24"/>
      <c r="I782" s="24"/>
      <c r="J782" s="24"/>
      <c r="K782" s="24"/>
      <c r="L782" s="24"/>
      <c r="M782" s="24"/>
      <c r="N782" s="24"/>
      <c r="O782" s="482">
        <v>116.04</v>
      </c>
      <c r="P782" s="24"/>
      <c r="Q782" s="24"/>
      <c r="R782" s="24"/>
      <c r="S782" s="24"/>
      <c r="T782" s="22"/>
      <c r="U782" s="22"/>
    </row>
    <row r="783" spans="1:21" ht="33.75" hidden="1">
      <c r="A783" s="244"/>
      <c r="B783" s="49" t="s">
        <v>814</v>
      </c>
      <c r="C783" s="88">
        <v>7445351</v>
      </c>
      <c r="D783" s="44">
        <v>883.263</v>
      </c>
      <c r="E783" s="482">
        <v>874.329</v>
      </c>
      <c r="F783" s="24"/>
      <c r="G783" s="24"/>
      <c r="H783" s="24"/>
      <c r="I783" s="24"/>
      <c r="J783" s="24"/>
      <c r="K783" s="24"/>
      <c r="L783" s="24"/>
      <c r="M783" s="24"/>
      <c r="N783" s="24"/>
      <c r="O783" s="482">
        <v>874.329</v>
      </c>
      <c r="P783" s="24"/>
      <c r="Q783" s="24"/>
      <c r="R783" s="24"/>
      <c r="S783" s="24"/>
      <c r="T783" s="22"/>
      <c r="U783" s="22"/>
    </row>
    <row r="784" spans="1:21" ht="22.5" hidden="1">
      <c r="A784" s="244"/>
      <c r="B784" s="49" t="s">
        <v>815</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4"/>
      <c r="B785" s="49" t="s">
        <v>816</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4"/>
      <c r="B786" s="49" t="s">
        <v>817</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4"/>
      <c r="B787" s="33" t="s">
        <v>818</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4"/>
      <c r="B788" s="33" t="s">
        <v>819</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4"/>
      <c r="B789" s="49" t="s">
        <v>820</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4"/>
      <c r="B790" s="136" t="s">
        <v>821</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4"/>
      <c r="B791" s="33" t="s">
        <v>822</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4"/>
      <c r="B792" s="33" t="s">
        <v>823</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163</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4"/>
      <c r="B794" s="139" t="s">
        <v>824</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4"/>
      <c r="B795" s="33" t="s">
        <v>807</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4"/>
      <c r="B796" s="33" t="s">
        <v>808</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4"/>
      <c r="B797" s="33" t="s">
        <v>809</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164</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4"/>
      <c r="B799" s="33" t="s">
        <v>825</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589</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4"/>
      <c r="B801" s="33" t="s">
        <v>826</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4"/>
      <c r="B802" s="33" t="s">
        <v>827</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4"/>
      <c r="B803" s="33" t="s">
        <v>828</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165</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4"/>
      <c r="B805" s="82" t="s">
        <v>829</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4"/>
      <c r="B806" s="82" t="s">
        <v>830</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4"/>
      <c r="B807" s="75" t="s">
        <v>831</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4"/>
      <c r="B808" s="33" t="s">
        <v>832</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4"/>
      <c r="B809" s="33" t="s">
        <v>833</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4"/>
      <c r="B810" s="33" t="s">
        <v>823</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4"/>
      <c r="B811" s="33" t="s">
        <v>834</v>
      </c>
      <c r="C811" s="51" t="s">
        <v>835</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4"/>
      <c r="B812" s="33" t="s">
        <v>836</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191</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4"/>
      <c r="B814" s="33" t="s">
        <v>837</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4"/>
      <c r="B815" s="33" t="s">
        <v>838</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4"/>
      <c r="B816" s="33" t="s">
        <v>839</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4"/>
      <c r="B817" s="33" t="s">
        <v>840</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4"/>
      <c r="B818" s="33" t="s">
        <v>841</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4"/>
      <c r="B819" s="33" t="s">
        <v>842</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4"/>
      <c r="B820" s="33" t="s">
        <v>843</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4"/>
      <c r="B821" s="33" t="s">
        <v>844</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4"/>
      <c r="B822" s="33" t="s">
        <v>845</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8</v>
      </c>
      <c r="B823" s="92" t="s">
        <v>169</v>
      </c>
      <c r="C823" s="92"/>
      <c r="D823" s="93">
        <v>34000</v>
      </c>
      <c r="E823" s="489">
        <v>0</v>
      </c>
      <c r="F823" s="489">
        <v>0</v>
      </c>
      <c r="G823" s="489">
        <v>0</v>
      </c>
      <c r="H823" s="489">
        <v>0</v>
      </c>
      <c r="I823" s="489">
        <v>0</v>
      </c>
      <c r="J823" s="489">
        <v>0</v>
      </c>
      <c r="K823" s="489">
        <v>0</v>
      </c>
      <c r="L823" s="489">
        <v>0</v>
      </c>
      <c r="M823" s="489">
        <v>0</v>
      </c>
      <c r="N823" s="489">
        <v>0</v>
      </c>
      <c r="O823" s="489">
        <v>0</v>
      </c>
      <c r="P823" s="489">
        <v>0</v>
      </c>
      <c r="Q823" s="489">
        <v>0</v>
      </c>
      <c r="R823" s="489">
        <v>0</v>
      </c>
      <c r="S823" s="489">
        <v>0</v>
      </c>
      <c r="T823" s="93">
        <v>0</v>
      </c>
      <c r="U823" s="93"/>
    </row>
    <row r="824" spans="1:21" ht="56.25" hidden="1">
      <c r="A824" s="244"/>
      <c r="B824" s="75" t="s">
        <v>831</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4"/>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4"/>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4"/>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4"/>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4"/>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4"/>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4"/>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4"/>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4"/>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4"/>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4"/>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4"/>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4"/>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4"/>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4"/>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4"/>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4"/>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4"/>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4"/>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4"/>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4"/>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4"/>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4"/>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4"/>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4"/>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4"/>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4"/>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4"/>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4"/>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4"/>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4"/>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4"/>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4"/>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4"/>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4"/>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4"/>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4"/>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4"/>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4"/>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4"/>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4"/>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4"/>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4"/>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4"/>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4"/>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4"/>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4"/>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4"/>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4"/>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4"/>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4"/>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4"/>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4"/>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4"/>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4"/>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4"/>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4"/>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4"/>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4"/>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4"/>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4"/>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4"/>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4"/>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4"/>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4"/>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4"/>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4"/>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4"/>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4"/>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4"/>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4"/>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4"/>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4"/>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4"/>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4"/>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4"/>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4"/>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4"/>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4"/>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4"/>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4"/>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4"/>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4"/>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4"/>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4"/>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4"/>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4"/>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4"/>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4"/>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4"/>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4"/>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4"/>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4"/>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4"/>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4"/>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4"/>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4"/>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4"/>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4"/>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4"/>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4"/>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4"/>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4"/>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4"/>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4"/>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4"/>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4"/>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4"/>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4"/>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4"/>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4"/>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4"/>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4"/>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4"/>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4"/>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4"/>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4"/>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4"/>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4"/>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4"/>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4"/>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4"/>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4"/>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4"/>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4"/>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4"/>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4"/>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4"/>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4"/>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4"/>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4"/>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4"/>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4"/>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4"/>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4"/>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4"/>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4"/>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4"/>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4"/>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4"/>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4"/>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4"/>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4"/>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4"/>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4"/>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4"/>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4"/>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4"/>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4"/>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4"/>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4"/>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4"/>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4"/>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4"/>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4"/>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4"/>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4"/>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4"/>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4"/>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4">
        <v>2</v>
      </c>
      <c r="B984" s="18" t="s">
        <v>63</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4">
        <v>3</v>
      </c>
      <c r="B985" s="18" t="s">
        <v>70</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4">
        <v>4</v>
      </c>
      <c r="B986" s="18" t="s">
        <v>71</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60" customWidth="1"/>
    <col min="2" max="2" width="44.421875" style="256" customWidth="1"/>
    <col min="3" max="5" width="18.140625" style="257" customWidth="1"/>
    <col min="6" max="6" width="60.57421875" style="256" customWidth="1"/>
    <col min="7" max="7" width="16.57421875" style="256" bestFit="1" customWidth="1"/>
    <col min="8" max="8" width="14.00390625" style="256" bestFit="1" customWidth="1"/>
    <col min="9" max="16384" width="9.00390625" style="256" customWidth="1"/>
  </cols>
  <sheetData>
    <row r="1" spans="1:5" ht="15.75">
      <c r="A1" s="255" t="s">
        <v>1069</v>
      </c>
      <c r="C1" s="257">
        <f>D8+'[1]45'!J6</f>
        <v>10327.29</v>
      </c>
      <c r="D1" s="257" t="e">
        <f>C9+C36</f>
        <v>#REF!</v>
      </c>
      <c r="E1" s="257">
        <f>D8-'[1]ctmt-sn'!H270</f>
        <v>-41003527869.5548</v>
      </c>
    </row>
    <row r="2" spans="1:5" ht="15.75">
      <c r="A2" s="258" t="s">
        <v>1070</v>
      </c>
      <c r="C2" s="257" t="e">
        <f>C8-C31-C32-C33-C72-C73-C70-C71</f>
        <v>#REF!</v>
      </c>
      <c r="D2" s="257" t="e">
        <f>C2-'[1]QT NSDP'!H53</f>
        <v>#REF!</v>
      </c>
      <c r="E2" s="257" t="e">
        <f>E9+E30</f>
        <v>#REF!</v>
      </c>
    </row>
    <row r="3" spans="1:7" ht="18.75">
      <c r="A3" s="530" t="s">
        <v>1071</v>
      </c>
      <c r="B3" s="530"/>
      <c r="C3" s="530"/>
      <c r="D3" s="530"/>
      <c r="E3" s="530"/>
      <c r="F3" s="530"/>
      <c r="G3" s="259">
        <v>46489303000</v>
      </c>
    </row>
    <row r="4" spans="2:7" ht="15.75">
      <c r="B4" s="257" t="e">
        <f>C8-D8</f>
        <v>#REF!</v>
      </c>
      <c r="C4" s="257" t="e">
        <f>C8-C31-C32-C33-C71-C73</f>
        <v>#REF!</v>
      </c>
      <c r="D4" s="257">
        <f>D8-'[1]ctmt-sn'!H271</f>
        <v>-28811110369.554802</v>
      </c>
      <c r="E4" s="257" t="e">
        <f>C9+1500000000+970000000</f>
        <v>#REF!</v>
      </c>
      <c r="G4" s="259" t="e">
        <f>G3-C9</f>
        <v>#REF!</v>
      </c>
    </row>
    <row r="5" spans="2:7" ht="15.75">
      <c r="B5" s="257"/>
      <c r="C5" s="257">
        <f>57060062768-D8</f>
        <v>57060062768</v>
      </c>
      <c r="D5" s="257">
        <f>57086087768-D8</f>
        <v>57086087768</v>
      </c>
      <c r="G5" s="259"/>
    </row>
    <row r="6" spans="3:7" ht="15.75">
      <c r="C6" s="257" t="e">
        <f>C30+61942958304</f>
        <v>#REF!</v>
      </c>
      <c r="D6" s="257" t="e">
        <f>C8-D8</f>
        <v>#REF!</v>
      </c>
      <c r="E6" s="257" t="e">
        <f>D6+D4</f>
        <v>#REF!</v>
      </c>
      <c r="F6" s="261" t="s">
        <v>1072</v>
      </c>
      <c r="G6" s="259"/>
    </row>
    <row r="7" spans="1:7" s="266" customFormat="1" ht="22.5" customHeight="1">
      <c r="A7" s="262" t="s">
        <v>2</v>
      </c>
      <c r="B7" s="263" t="s">
        <v>111</v>
      </c>
      <c r="C7" s="264" t="s">
        <v>1073</v>
      </c>
      <c r="D7" s="264" t="s">
        <v>1074</v>
      </c>
      <c r="E7" s="264" t="s">
        <v>1075</v>
      </c>
      <c r="F7" s="263" t="s">
        <v>1076</v>
      </c>
      <c r="G7" s="265"/>
    </row>
    <row r="8" spans="1:7" s="270" customFormat="1" ht="22.5" customHeight="1">
      <c r="A8" s="267"/>
      <c r="B8" s="268" t="s">
        <v>846</v>
      </c>
      <c r="C8" s="269" t="e">
        <f>C9+C30</f>
        <v>#REF!</v>
      </c>
      <c r="D8" s="269">
        <f>D9+D30</f>
        <v>0</v>
      </c>
      <c r="E8" s="269" t="e">
        <f>D9+E9</f>
        <v>#REF!</v>
      </c>
      <c r="F8" s="268"/>
      <c r="G8" s="270" t="s">
        <v>1077</v>
      </c>
    </row>
    <row r="9" spans="1:8" s="276" customFormat="1" ht="15.75">
      <c r="A9" s="271" t="s">
        <v>7</v>
      </c>
      <c r="B9" s="272" t="s">
        <v>1078</v>
      </c>
      <c r="C9" s="273" t="e">
        <f>SUM(C11:C29)</f>
        <v>#REF!</v>
      </c>
      <c r="D9" s="273">
        <f>SUM(D11:D29)</f>
        <v>0</v>
      </c>
      <c r="E9" s="273" t="e">
        <f>SUM(E11:E29)</f>
        <v>#REF!</v>
      </c>
      <c r="F9" s="274"/>
      <c r="G9" s="275">
        <v>57514965960</v>
      </c>
      <c r="H9" s="257"/>
    </row>
    <row r="10" spans="1:8" s="276" customFormat="1" ht="15.75">
      <c r="A10" s="271"/>
      <c r="B10" s="272" t="s">
        <v>1079</v>
      </c>
      <c r="C10" s="273" t="e">
        <f>C9-C11</f>
        <v>#REF!</v>
      </c>
      <c r="D10" s="273">
        <f>D9-D11</f>
        <v>0</v>
      </c>
      <c r="E10" s="273" t="e">
        <f>E9-E11</f>
        <v>#REF!</v>
      </c>
      <c r="F10" s="274"/>
      <c r="G10" s="275"/>
      <c r="H10" s="257"/>
    </row>
    <row r="11" spans="1:8" ht="15.75">
      <c r="A11" s="277">
        <v>1</v>
      </c>
      <c r="B11" s="278" t="s">
        <v>1080</v>
      </c>
      <c r="C11" s="279">
        <f>'[1]QT von Dtu'!C9+D11</f>
        <v>0</v>
      </c>
      <c r="D11" s="279"/>
      <c r="E11" s="279">
        <f>C11-D11</f>
        <v>0</v>
      </c>
      <c r="F11" s="274"/>
      <c r="G11" s="280" t="e">
        <f>C9-G9</f>
        <v>#REF!</v>
      </c>
      <c r="H11" s="257" t="e">
        <f>G11-779000000+415300000-2155572000</f>
        <v>#REF!</v>
      </c>
    </row>
    <row r="12" spans="1:6" s="281" customFormat="1" ht="15.75">
      <c r="A12" s="277">
        <v>2</v>
      </c>
      <c r="B12" s="278" t="s">
        <v>1081</v>
      </c>
      <c r="C12" s="279">
        <f>'[1]QT von Dtu'!C10+D12</f>
        <v>10177.186000000002</v>
      </c>
      <c r="D12" s="279"/>
      <c r="E12" s="279">
        <f aca="true" t="shared" si="0" ref="E12:E30">C12-D12</f>
        <v>10177.186000000002</v>
      </c>
      <c r="F12" s="278"/>
    </row>
    <row r="13" spans="1:6" s="281" customFormat="1" ht="15.75">
      <c r="A13" s="277"/>
      <c r="B13" s="278" t="s">
        <v>1082</v>
      </c>
      <c r="C13" s="279">
        <f>'[1]QT von Dtu'!C11+D13</f>
        <v>0</v>
      </c>
      <c r="D13" s="279"/>
      <c r="E13" s="279">
        <f t="shared" si="0"/>
        <v>0</v>
      </c>
      <c r="F13" s="278"/>
    </row>
    <row r="14" spans="1:8" s="281" customFormat="1" ht="15.75">
      <c r="A14" s="277">
        <v>3</v>
      </c>
      <c r="B14" s="278" t="s">
        <v>1083</v>
      </c>
      <c r="C14" s="279">
        <f>'[1]QT von Dtu'!C12+D14</f>
        <v>0</v>
      </c>
      <c r="D14" s="279"/>
      <c r="E14" s="279">
        <f t="shared" si="0"/>
        <v>0</v>
      </c>
      <c r="F14" s="278"/>
      <c r="H14" s="282"/>
    </row>
    <row r="15" spans="1:8" s="281" customFormat="1" ht="15.75">
      <c r="A15" s="277">
        <v>4</v>
      </c>
      <c r="B15" s="278" t="s">
        <v>1084</v>
      </c>
      <c r="C15" s="279">
        <f>'[1]QT von Dtu'!C13+D15</f>
        <v>0</v>
      </c>
      <c r="D15" s="279"/>
      <c r="E15" s="279">
        <f t="shared" si="0"/>
        <v>0</v>
      </c>
      <c r="F15" s="278"/>
      <c r="H15" s="282"/>
    </row>
    <row r="16" spans="1:8" s="281" customFormat="1" ht="15.75">
      <c r="A16" s="277">
        <v>5</v>
      </c>
      <c r="B16" s="278" t="s">
        <v>1085</v>
      </c>
      <c r="C16" s="279">
        <f>'[1]QT von Dtu'!C14+D16</f>
        <v>0</v>
      </c>
      <c r="D16" s="279"/>
      <c r="E16" s="279">
        <f t="shared" si="0"/>
        <v>0</v>
      </c>
      <c r="F16" s="274"/>
      <c r="H16" s="282"/>
    </row>
    <row r="17" spans="1:7" s="281" customFormat="1" ht="15.75">
      <c r="A17" s="277">
        <v>6</v>
      </c>
      <c r="B17" s="283" t="s">
        <v>1086</v>
      </c>
      <c r="C17" s="279">
        <f>'[1]QT von Dtu'!C15+D17</f>
        <v>0</v>
      </c>
      <c r="D17" s="279"/>
      <c r="E17" s="279">
        <f t="shared" si="0"/>
        <v>0</v>
      </c>
      <c r="F17" s="278"/>
      <c r="G17" s="284"/>
    </row>
    <row r="18" spans="1:7" s="281" customFormat="1" ht="15.75">
      <c r="A18" s="277">
        <v>7</v>
      </c>
      <c r="B18" s="283" t="s">
        <v>1087</v>
      </c>
      <c r="C18" s="279">
        <f>'[1]QT von Dtu'!C16+D18</f>
        <v>0</v>
      </c>
      <c r="D18" s="279"/>
      <c r="E18" s="279">
        <f t="shared" si="0"/>
        <v>0</v>
      </c>
      <c r="F18" s="278"/>
      <c r="G18" s="284"/>
    </row>
    <row r="19" spans="1:7" s="281" customFormat="1" ht="15.75">
      <c r="A19" s="277">
        <v>8</v>
      </c>
      <c r="B19" s="283" t="s">
        <v>1088</v>
      </c>
      <c r="C19" s="279">
        <f>'[1]QT von Dtu'!C17+D19</f>
        <v>17390.016735999998</v>
      </c>
      <c r="D19" s="285"/>
      <c r="E19" s="279">
        <f t="shared" si="0"/>
        <v>17390.016735999998</v>
      </c>
      <c r="F19" s="278"/>
      <c r="G19" s="284"/>
    </row>
    <row r="20" spans="1:7" s="281" customFormat="1" ht="23.25" customHeight="1">
      <c r="A20" s="277">
        <v>9</v>
      </c>
      <c r="B20" s="283" t="s">
        <v>1089</v>
      </c>
      <c r="C20" s="279">
        <f>'[1]QT von Dtu'!C18+D20</f>
        <v>0</v>
      </c>
      <c r="D20" s="279"/>
      <c r="E20" s="279">
        <f t="shared" si="0"/>
        <v>0</v>
      </c>
      <c r="F20" s="278"/>
      <c r="G20" s="284"/>
    </row>
    <row r="21" spans="1:7" s="281" customFormat="1" ht="25.5">
      <c r="A21" s="277">
        <v>10</v>
      </c>
      <c r="B21" s="283" t="s">
        <v>1090</v>
      </c>
      <c r="C21" s="279">
        <f>'[1]QT von Dtu'!C19+D21</f>
        <v>0</v>
      </c>
      <c r="D21" s="279"/>
      <c r="E21" s="279">
        <f t="shared" si="0"/>
        <v>0</v>
      </c>
      <c r="F21" s="278"/>
      <c r="G21" s="284"/>
    </row>
    <row r="22" spans="1:7" s="281" customFormat="1" ht="15.75">
      <c r="A22" s="277">
        <v>11</v>
      </c>
      <c r="B22" s="283" t="s">
        <v>1091</v>
      </c>
      <c r="C22" s="279">
        <f aca="true" t="shared" si="1" ref="C22:C28">D22</f>
        <v>0</v>
      </c>
      <c r="D22" s="279"/>
      <c r="E22" s="279">
        <f t="shared" si="0"/>
        <v>0</v>
      </c>
      <c r="F22" s="278"/>
      <c r="G22" s="284"/>
    </row>
    <row r="23" spans="1:7" s="281" customFormat="1" ht="15.75">
      <c r="A23" s="277">
        <v>12</v>
      </c>
      <c r="B23" s="283" t="s">
        <v>1092</v>
      </c>
      <c r="C23" s="279">
        <f t="shared" si="1"/>
        <v>0</v>
      </c>
      <c r="D23" s="279"/>
      <c r="E23" s="279">
        <f t="shared" si="0"/>
        <v>0</v>
      </c>
      <c r="F23" s="278"/>
      <c r="G23" s="284"/>
    </row>
    <row r="24" spans="1:7" s="281" customFormat="1" ht="15.75">
      <c r="A24" s="277">
        <v>13</v>
      </c>
      <c r="B24" s="283" t="s">
        <v>1093</v>
      </c>
      <c r="C24" s="279">
        <f t="shared" si="1"/>
        <v>0</v>
      </c>
      <c r="D24" s="279"/>
      <c r="E24" s="279">
        <f t="shared" si="0"/>
        <v>0</v>
      </c>
      <c r="F24" s="278"/>
      <c r="G24" s="284"/>
    </row>
    <row r="25" spans="1:7" s="281" customFormat="1" ht="15.75">
      <c r="A25" s="277">
        <v>14</v>
      </c>
      <c r="B25" s="286" t="s">
        <v>1094</v>
      </c>
      <c r="C25" s="287">
        <f t="shared" si="1"/>
        <v>0</v>
      </c>
      <c r="D25" s="287"/>
      <c r="E25" s="279">
        <f t="shared" si="0"/>
        <v>0</v>
      </c>
      <c r="F25" s="278"/>
      <c r="G25" s="284"/>
    </row>
    <row r="26" spans="1:7" s="281" customFormat="1" ht="15.75">
      <c r="A26" s="277"/>
      <c r="B26" s="288" t="s">
        <v>1095</v>
      </c>
      <c r="C26" s="279">
        <f t="shared" si="1"/>
        <v>0</v>
      </c>
      <c r="D26" s="279">
        <f>'[1]ctmt-sn'!H218</f>
        <v>0</v>
      </c>
      <c r="E26" s="279">
        <f t="shared" si="0"/>
        <v>0</v>
      </c>
      <c r="F26" s="278"/>
      <c r="G26" s="284"/>
    </row>
    <row r="27" spans="1:7" s="281" customFormat="1" ht="15.75">
      <c r="A27" s="277"/>
      <c r="B27" s="288" t="s">
        <v>1096</v>
      </c>
      <c r="C27" s="279">
        <f t="shared" si="1"/>
        <v>0</v>
      </c>
      <c r="D27" s="279"/>
      <c r="E27" s="279">
        <f t="shared" si="0"/>
        <v>0</v>
      </c>
      <c r="F27" s="278"/>
      <c r="G27" s="284"/>
    </row>
    <row r="28" spans="1:7" s="281" customFormat="1" ht="26.25">
      <c r="A28" s="277">
        <v>15</v>
      </c>
      <c r="B28" s="289" t="s">
        <v>1097</v>
      </c>
      <c r="C28" s="279">
        <f t="shared" si="1"/>
        <v>0</v>
      </c>
      <c r="D28" s="279"/>
      <c r="E28" s="279">
        <f t="shared" si="0"/>
        <v>0</v>
      </c>
      <c r="F28" s="278"/>
      <c r="G28" s="284"/>
    </row>
    <row r="29" spans="1:7" s="281" customFormat="1" ht="15.75">
      <c r="A29" s="277">
        <v>16</v>
      </c>
      <c r="B29" s="278" t="s">
        <v>1098</v>
      </c>
      <c r="C29" s="279" t="e">
        <f>'[1]QT von Dtu'!C20+D29</f>
        <v>#REF!</v>
      </c>
      <c r="D29" s="279"/>
      <c r="E29" s="279" t="e">
        <f t="shared" si="0"/>
        <v>#REF!</v>
      </c>
      <c r="F29" s="278"/>
      <c r="G29" s="284"/>
    </row>
    <row r="30" spans="1:8" s="276" customFormat="1" ht="22.5" customHeight="1">
      <c r="A30" s="271" t="s">
        <v>9</v>
      </c>
      <c r="B30" s="272" t="s">
        <v>1099</v>
      </c>
      <c r="C30" s="273" t="e">
        <f>C31+C32+C33+C37+C70+C71+C72+C73+C75+C69+C34+C36</f>
        <v>#REF!</v>
      </c>
      <c r="D30" s="273">
        <f>SUM(D31:D77)</f>
        <v>0</v>
      </c>
      <c r="E30" s="273" t="e">
        <f t="shared" si="0"/>
        <v>#REF!</v>
      </c>
      <c r="F30" s="290">
        <v>329340678144</v>
      </c>
      <c r="G30" s="291">
        <v>329340678144</v>
      </c>
      <c r="H30" s="275"/>
    </row>
    <row r="31" spans="1:8" s="276" customFormat="1" ht="22.5" customHeight="1">
      <c r="A31" s="271">
        <v>1</v>
      </c>
      <c r="B31" s="175" t="s">
        <v>848</v>
      </c>
      <c r="C31" s="279">
        <f>'[1]QT von Dtu'!C29</f>
        <v>0</v>
      </c>
      <c r="D31" s="279"/>
      <c r="E31" s="279"/>
      <c r="F31" s="290"/>
      <c r="G31" s="291"/>
      <c r="H31" s="275"/>
    </row>
    <row r="32" spans="1:7" ht="15.75">
      <c r="A32" s="277">
        <v>2</v>
      </c>
      <c r="B32" s="278" t="s">
        <v>1100</v>
      </c>
      <c r="C32" s="279">
        <f>'[1]QT von Dtu'!C30</f>
        <v>374982.41000000003</v>
      </c>
      <c r="D32" s="279"/>
      <c r="E32" s="279"/>
      <c r="F32" s="292" t="e">
        <f>F30-C30</f>
        <v>#REF!</v>
      </c>
      <c r="G32" s="293" t="e">
        <f>C30-G30</f>
        <v>#REF!</v>
      </c>
    </row>
    <row r="33" spans="1:7" ht="15.75">
      <c r="A33" s="277">
        <v>3</v>
      </c>
      <c r="B33" s="176" t="s">
        <v>1101</v>
      </c>
      <c r="C33" s="279">
        <f>'[1]QT von Dtu'!C31</f>
        <v>118198.07</v>
      </c>
      <c r="D33" s="279"/>
      <c r="E33" s="279"/>
      <c r="F33" s="278"/>
      <c r="G33" s="294"/>
    </row>
    <row r="34" spans="1:7" ht="15.75">
      <c r="A34" s="277"/>
      <c r="B34" s="176" t="s">
        <v>1101</v>
      </c>
      <c r="C34" s="279" t="e">
        <f>'[1]QT von Dtu'!C32</f>
        <v>#REF!</v>
      </c>
      <c r="D34" s="279"/>
      <c r="E34" s="279"/>
      <c r="F34" s="278"/>
      <c r="G34" s="294"/>
    </row>
    <row r="35" spans="1:7" ht="15.75">
      <c r="A35" s="277"/>
      <c r="B35" s="176" t="s">
        <v>850</v>
      </c>
      <c r="C35" s="279" t="e">
        <f>'[1]QT von Dtu'!C33</f>
        <v>#REF!</v>
      </c>
      <c r="D35" s="279"/>
      <c r="E35" s="279"/>
      <c r="F35" s="278"/>
      <c r="G35" s="294"/>
    </row>
    <row r="36" spans="1:7" ht="15.75">
      <c r="A36" s="277"/>
      <c r="B36" s="176" t="s">
        <v>1033</v>
      </c>
      <c r="C36" s="279">
        <f>'[1]QT von Dtu'!C34</f>
        <v>0</v>
      </c>
      <c r="D36" s="279"/>
      <c r="E36" s="279"/>
      <c r="F36" s="278"/>
      <c r="G36" s="294"/>
    </row>
    <row r="37" spans="1:7" ht="15.75">
      <c r="A37" s="277">
        <v>4</v>
      </c>
      <c r="B37" s="278" t="s">
        <v>849</v>
      </c>
      <c r="C37" s="279">
        <f>SUM(C38:C67)</f>
        <v>505212.27469700004</v>
      </c>
      <c r="D37" s="279"/>
      <c r="E37" s="279"/>
      <c r="F37" s="278"/>
      <c r="G37" s="294"/>
    </row>
    <row r="38" spans="1:7" ht="30">
      <c r="A38" s="277"/>
      <c r="B38" s="295" t="s">
        <v>139</v>
      </c>
      <c r="C38" s="287">
        <f>'[1]QT von Dtu'!C36</f>
        <v>185282.21685</v>
      </c>
      <c r="D38" s="296"/>
      <c r="E38" s="296"/>
      <c r="F38" s="278"/>
      <c r="G38" s="294"/>
    </row>
    <row r="39" spans="1:7" ht="30">
      <c r="A39" s="277"/>
      <c r="B39" s="295" t="s">
        <v>140</v>
      </c>
      <c r="C39" s="287">
        <f>'[1]QT von Dtu'!C37</f>
        <v>23819.947</v>
      </c>
      <c r="D39" s="296"/>
      <c r="E39" s="296"/>
      <c r="F39" s="278"/>
      <c r="G39" s="294"/>
    </row>
    <row r="40" spans="1:7" ht="45">
      <c r="A40" s="277"/>
      <c r="B40" s="295" t="s">
        <v>141</v>
      </c>
      <c r="C40" s="287">
        <f>'[1]QT von Dtu'!C38</f>
        <v>43308.15</v>
      </c>
      <c r="D40" s="296"/>
      <c r="E40" s="296"/>
      <c r="F40" s="278"/>
      <c r="G40" s="294"/>
    </row>
    <row r="41" spans="1:7" ht="30">
      <c r="A41" s="277"/>
      <c r="B41" s="295" t="s">
        <v>142</v>
      </c>
      <c r="C41" s="287">
        <f>'[1]QT von Dtu'!C39</f>
        <v>15552.773681</v>
      </c>
      <c r="D41" s="296"/>
      <c r="E41" s="296"/>
      <c r="F41" s="278"/>
      <c r="G41" s="294"/>
    </row>
    <row r="42" spans="1:7" ht="45">
      <c r="A42" s="277"/>
      <c r="B42" s="295" t="s">
        <v>143</v>
      </c>
      <c r="C42" s="287">
        <f>'[1]QT von Dtu'!C40</f>
        <v>55777.386</v>
      </c>
      <c r="D42" s="296"/>
      <c r="E42" s="296"/>
      <c r="F42" s="278"/>
      <c r="G42" s="294"/>
    </row>
    <row r="43" spans="1:7" ht="15.75">
      <c r="A43" s="277"/>
      <c r="B43" s="295" t="s">
        <v>144</v>
      </c>
      <c r="C43" s="287">
        <f>'[1]QT von Dtu'!C41</f>
        <v>9083.9139</v>
      </c>
      <c r="D43" s="296"/>
      <c r="E43" s="296"/>
      <c r="F43" s="278"/>
      <c r="G43" s="294"/>
    </row>
    <row r="44" spans="1:7" ht="30">
      <c r="A44" s="277"/>
      <c r="B44" s="295" t="s">
        <v>145</v>
      </c>
      <c r="C44" s="287">
        <f>'[1]QT von Dtu'!C42</f>
        <v>36001.044</v>
      </c>
      <c r="D44" s="296"/>
      <c r="E44" s="296"/>
      <c r="F44" s="278"/>
      <c r="G44" s="294"/>
    </row>
    <row r="45" spans="1:7" ht="30">
      <c r="A45" s="277"/>
      <c r="B45" s="295" t="s">
        <v>146</v>
      </c>
      <c r="C45" s="287">
        <f>'[1]QT von Dtu'!C43</f>
        <v>109969.659</v>
      </c>
      <c r="D45" s="296"/>
      <c r="E45" s="296"/>
      <c r="F45" s="278"/>
      <c r="G45" s="294"/>
    </row>
    <row r="46" spans="1:7" ht="30">
      <c r="A46" s="277"/>
      <c r="B46" s="295" t="s">
        <v>147</v>
      </c>
      <c r="C46" s="287">
        <f>'[1]QT von Dtu'!C44</f>
        <v>8568.712682</v>
      </c>
      <c r="D46" s="296"/>
      <c r="E46" s="296"/>
      <c r="F46" s="278"/>
      <c r="G46" s="294"/>
    </row>
    <row r="47" spans="1:7" ht="15.75">
      <c r="A47" s="277"/>
      <c r="B47" s="295" t="s">
        <v>148</v>
      </c>
      <c r="C47" s="287">
        <f>'[1]QT von Dtu'!C45</f>
        <v>3406.601</v>
      </c>
      <c r="D47" s="296"/>
      <c r="E47" s="296"/>
      <c r="F47" s="278"/>
      <c r="G47" s="294"/>
    </row>
    <row r="48" spans="1:7" ht="15.75">
      <c r="A48" s="277"/>
      <c r="B48" s="295" t="s">
        <v>149</v>
      </c>
      <c r="C48" s="287">
        <f>'[1]QT von Dtu'!C46</f>
        <v>3590.396</v>
      </c>
      <c r="D48" s="296"/>
      <c r="E48" s="296"/>
      <c r="F48" s="278"/>
      <c r="G48" s="294"/>
    </row>
    <row r="49" spans="1:7" ht="15.75">
      <c r="A49" s="277"/>
      <c r="B49" s="295" t="s">
        <v>150</v>
      </c>
      <c r="C49" s="287">
        <f>'[1]QT von Dtu'!C47</f>
        <v>18.024</v>
      </c>
      <c r="D49" s="296"/>
      <c r="E49" s="296"/>
      <c r="F49" s="278"/>
      <c r="G49" s="294"/>
    </row>
    <row r="50" spans="1:7" ht="15.75">
      <c r="A50" s="277"/>
      <c r="B50" s="295" t="s">
        <v>151</v>
      </c>
      <c r="C50" s="287">
        <f>'[1]QT von Dtu'!C48</f>
        <v>51.158</v>
      </c>
      <c r="D50" s="296"/>
      <c r="E50" s="296"/>
      <c r="F50" s="278"/>
      <c r="G50" s="294"/>
    </row>
    <row r="51" spans="1:7" ht="30">
      <c r="A51" s="277"/>
      <c r="B51" s="295" t="s">
        <v>152</v>
      </c>
      <c r="C51" s="287">
        <f>'[1]QT von Dtu'!C49</f>
        <v>174.694</v>
      </c>
      <c r="D51" s="296"/>
      <c r="E51" s="296"/>
      <c r="F51" s="278"/>
      <c r="G51" s="294"/>
    </row>
    <row r="52" spans="1:7" ht="30">
      <c r="A52" s="277"/>
      <c r="B52" s="295" t="s">
        <v>153</v>
      </c>
      <c r="C52" s="287">
        <f>'[1]QT von Dtu'!C50</f>
        <v>1245.961256</v>
      </c>
      <c r="D52" s="296"/>
      <c r="E52" s="296"/>
      <c r="F52" s="278"/>
      <c r="G52" s="294"/>
    </row>
    <row r="53" spans="1:7" ht="30">
      <c r="A53" s="277"/>
      <c r="B53" s="295" t="s">
        <v>154</v>
      </c>
      <c r="C53" s="287">
        <f>'[1]QT von Dtu'!C51</f>
        <v>350.606</v>
      </c>
      <c r="D53" s="296"/>
      <c r="E53" s="296"/>
      <c r="F53" s="278"/>
      <c r="G53" s="294"/>
    </row>
    <row r="54" spans="1:7" ht="30">
      <c r="A54" s="277"/>
      <c r="B54" s="295" t="s">
        <v>155</v>
      </c>
      <c r="C54" s="287">
        <f>'[1]QT von Dtu'!C52</f>
        <v>575.949</v>
      </c>
      <c r="D54" s="296"/>
      <c r="E54" s="296"/>
      <c r="F54" s="278"/>
      <c r="G54" s="294"/>
    </row>
    <row r="55" spans="1:7" ht="15.75">
      <c r="A55" s="277"/>
      <c r="B55" s="295" t="s">
        <v>156</v>
      </c>
      <c r="C55" s="287">
        <f>'[1]QT von Dtu'!C53</f>
        <v>8435.082328</v>
      </c>
      <c r="D55" s="296"/>
      <c r="E55" s="296"/>
      <c r="F55" s="278"/>
      <c r="G55" s="294"/>
    </row>
    <row r="56" spans="1:7" ht="15.75">
      <c r="A56" s="277"/>
      <c r="B56" s="297"/>
      <c r="C56" s="287">
        <f>'[1]QT von Dtu'!C55</f>
        <v>0</v>
      </c>
      <c r="D56" s="296"/>
      <c r="E56" s="296"/>
      <c r="F56" s="278"/>
      <c r="G56" s="294"/>
    </row>
    <row r="57" spans="1:7" ht="15.75">
      <c r="A57" s="277"/>
      <c r="B57" s="297"/>
      <c r="C57" s="287">
        <f>'[1]QT von Dtu'!C56</f>
        <v>0</v>
      </c>
      <c r="D57" s="296"/>
      <c r="E57" s="296"/>
      <c r="F57" s="278"/>
      <c r="G57" s="294"/>
    </row>
    <row r="58" spans="1:7" ht="15.75">
      <c r="A58" s="277"/>
      <c r="B58" s="298"/>
      <c r="C58" s="287">
        <f>'[1]QT von Dtu'!C57</f>
        <v>0</v>
      </c>
      <c r="D58" s="296"/>
      <c r="E58" s="296"/>
      <c r="F58" s="278"/>
      <c r="G58" s="294"/>
    </row>
    <row r="59" spans="1:7" ht="15.75">
      <c r="A59" s="277"/>
      <c r="B59" s="298"/>
      <c r="C59" s="287">
        <f>'[1]QT von Dtu'!C58</f>
        <v>0</v>
      </c>
      <c r="D59" s="296"/>
      <c r="E59" s="296"/>
      <c r="F59" s="278"/>
      <c r="G59" s="294"/>
    </row>
    <row r="60" spans="1:7" ht="15.75">
      <c r="A60" s="277"/>
      <c r="B60" s="299"/>
      <c r="C60" s="287">
        <f>'[1]QT von Dtu'!C59</f>
        <v>0</v>
      </c>
      <c r="D60" s="296"/>
      <c r="E60" s="296"/>
      <c r="F60" s="278"/>
      <c r="G60" s="294"/>
    </row>
    <row r="61" spans="1:7" ht="15.75">
      <c r="A61" s="277"/>
      <c r="B61" s="298"/>
      <c r="C61" s="287">
        <f>'[1]QT von Dtu'!C60</f>
        <v>0</v>
      </c>
      <c r="D61" s="296"/>
      <c r="E61" s="296"/>
      <c r="F61" s="278"/>
      <c r="G61" s="294"/>
    </row>
    <row r="62" spans="1:7" ht="15.75">
      <c r="A62" s="277"/>
      <c r="B62" s="298"/>
      <c r="C62" s="287">
        <f>'[1]QT von Dtu'!C61</f>
        <v>0</v>
      </c>
      <c r="D62" s="296"/>
      <c r="E62" s="296"/>
      <c r="F62" s="278"/>
      <c r="G62" s="294"/>
    </row>
    <row r="63" spans="1:7" ht="15.75">
      <c r="A63" s="277"/>
      <c r="B63" s="299"/>
      <c r="C63" s="287">
        <f>'[1]QT von Dtu'!C62</f>
        <v>0</v>
      </c>
      <c r="D63" s="296"/>
      <c r="E63" s="296"/>
      <c r="F63" s="278"/>
      <c r="G63" s="294"/>
    </row>
    <row r="64" spans="1:7" ht="15.75">
      <c r="A64" s="277"/>
      <c r="B64" s="300"/>
      <c r="C64" s="287">
        <f>'[1]QT von Dtu'!C63</f>
        <v>0</v>
      </c>
      <c r="D64" s="296"/>
      <c r="E64" s="296"/>
      <c r="F64" s="278"/>
      <c r="G64" s="294"/>
    </row>
    <row r="65" spans="1:7" ht="15.75">
      <c r="A65" s="277"/>
      <c r="B65" s="299"/>
      <c r="C65" s="287">
        <f>'[1]QT von Dtu'!C64</f>
        <v>0</v>
      </c>
      <c r="D65" s="296"/>
      <c r="E65" s="296"/>
      <c r="F65" s="278"/>
      <c r="G65" s="294"/>
    </row>
    <row r="66" spans="1:7" ht="15.75">
      <c r="A66" s="277">
        <v>4</v>
      </c>
      <c r="B66" s="298"/>
      <c r="C66" s="287">
        <f>'[1]QT von Dtu'!C66</f>
        <v>0</v>
      </c>
      <c r="D66" s="279"/>
      <c r="E66" s="279"/>
      <c r="F66" s="279"/>
      <c r="G66" s="294"/>
    </row>
    <row r="67" spans="1:6" ht="15.75">
      <c r="A67" s="277">
        <v>5</v>
      </c>
      <c r="B67" s="298"/>
      <c r="C67" s="287">
        <f>'[1]QT von Dtu'!C67</f>
        <v>0</v>
      </c>
      <c r="D67" s="279"/>
      <c r="E67" s="279"/>
      <c r="F67" s="278"/>
    </row>
    <row r="68" spans="1:6" ht="15.75">
      <c r="A68" s="277">
        <v>6</v>
      </c>
      <c r="B68" s="297"/>
      <c r="C68" s="287">
        <f>'[1]QT von Dtu'!C68</f>
        <v>0</v>
      </c>
      <c r="D68" s="279"/>
      <c r="E68" s="279"/>
      <c r="F68" s="279"/>
    </row>
    <row r="69" spans="1:6" ht="15.75">
      <c r="A69" s="277">
        <v>7</v>
      </c>
      <c r="B69" s="297"/>
      <c r="C69" s="287">
        <f>'[1]QT von Dtu'!C69</f>
        <v>0</v>
      </c>
      <c r="D69" s="279"/>
      <c r="E69" s="279"/>
      <c r="F69" s="278"/>
    </row>
    <row r="70" spans="1:6" ht="15.75">
      <c r="A70" s="277">
        <v>8</v>
      </c>
      <c r="B70" s="297"/>
      <c r="C70" s="287">
        <f>'[1]QT von Dtu'!C70</f>
        <v>0</v>
      </c>
      <c r="D70" s="279"/>
      <c r="E70" s="279"/>
      <c r="F70" s="278"/>
    </row>
    <row r="71" spans="1:6" ht="15.75">
      <c r="A71" s="277">
        <v>9</v>
      </c>
      <c r="B71" s="297" t="s">
        <v>1102</v>
      </c>
      <c r="C71" s="287">
        <f>'[1]QT von Dtu'!C71</f>
        <v>30826.8</v>
      </c>
      <c r="D71" s="279"/>
      <c r="E71" s="279"/>
      <c r="F71" s="278"/>
    </row>
    <row r="72" spans="1:6" ht="15.75">
      <c r="A72" s="277">
        <v>10</v>
      </c>
      <c r="B72" s="297" t="s">
        <v>1103</v>
      </c>
      <c r="C72" s="287">
        <f>'[1]QT von Dtu'!C72</f>
        <v>32742.15</v>
      </c>
      <c r="D72" s="279"/>
      <c r="E72" s="279"/>
      <c r="F72" s="278"/>
    </row>
    <row r="73" spans="1:6" ht="15.75">
      <c r="A73" s="277">
        <v>11</v>
      </c>
      <c r="B73" s="301" t="s">
        <v>1104</v>
      </c>
      <c r="C73" s="279">
        <f>'[1]QT von Dtu'!C65</f>
        <v>29492.574264000003</v>
      </c>
      <c r="D73" s="279"/>
      <c r="E73" s="279"/>
      <c r="F73" s="278"/>
    </row>
    <row r="74" spans="1:6" ht="24.75">
      <c r="A74" s="277">
        <v>12</v>
      </c>
      <c r="B74" s="302" t="s">
        <v>1066</v>
      </c>
      <c r="C74" s="279" t="e">
        <f>'[1]QT von Dtu'!C74</f>
        <v>#REF!</v>
      </c>
      <c r="D74" s="279"/>
      <c r="E74" s="279"/>
      <c r="F74" s="279"/>
    </row>
    <row r="75" spans="1:6" ht="15.75">
      <c r="A75" s="277">
        <v>13</v>
      </c>
      <c r="B75" s="301"/>
      <c r="C75" s="287">
        <f>'[1]QT von Dtu'!C75</f>
        <v>0</v>
      </c>
      <c r="D75" s="279"/>
      <c r="E75" s="279"/>
      <c r="F75" s="279"/>
    </row>
    <row r="76" spans="1:6" ht="15.75">
      <c r="A76" s="277"/>
      <c r="B76" s="301"/>
      <c r="C76" s="279">
        <v>0</v>
      </c>
      <c r="D76" s="279"/>
      <c r="E76" s="279"/>
      <c r="F76" s="279"/>
    </row>
    <row r="77" spans="1:6" s="304" customFormat="1" ht="15.75">
      <c r="A77" s="277"/>
      <c r="B77" s="301"/>
      <c r="C77" s="285">
        <v>0</v>
      </c>
      <c r="D77" s="285"/>
      <c r="E77" s="285"/>
      <c r="F77" s="303"/>
    </row>
    <row r="78" spans="1:6" s="304" customFormat="1" ht="15.75">
      <c r="A78" s="277"/>
      <c r="B78" s="305"/>
      <c r="C78" s="285">
        <v>1000000</v>
      </c>
      <c r="D78" s="285"/>
      <c r="E78" s="285"/>
      <c r="F78" s="305"/>
    </row>
    <row r="79" ht="15.75">
      <c r="C79" s="257" t="e">
        <f>C30-C31-C32-C33-C71-C72-C73</f>
        <v>#REF!</v>
      </c>
    </row>
    <row r="80" spans="2:6" ht="15.75">
      <c r="B80" s="256" t="s">
        <v>1105</v>
      </c>
      <c r="C80" s="257" t="e">
        <f>#REF!*C78</f>
        <v>#REF!</v>
      </c>
      <c r="F80" s="257"/>
    </row>
    <row r="81" spans="2:3" ht="15.75">
      <c r="B81" s="301" t="s">
        <v>1106</v>
      </c>
      <c r="C81" s="257" t="e">
        <f>#REF!*1000000</f>
        <v>#REF!</v>
      </c>
    </row>
    <row r="82" spans="2:3" ht="15.75">
      <c r="B82" s="256" t="s">
        <v>1107</v>
      </c>
      <c r="C82" s="257" t="e">
        <f>#REF!*1000000</f>
        <v>#REF!</v>
      </c>
    </row>
    <row r="83" spans="2:3" ht="15.75">
      <c r="B83" s="256" t="s">
        <v>1108</v>
      </c>
      <c r="C83" s="257" t="e">
        <f>#REF!*1000000</f>
        <v>#REF!</v>
      </c>
    </row>
    <row r="84" spans="2:3" ht="15.75">
      <c r="B84" s="256" t="s">
        <v>1109</v>
      </c>
      <c r="C84" s="257" t="e">
        <f>#REF!*'[1]QT von DT+MT'!C78</f>
        <v>#REF!</v>
      </c>
    </row>
    <row r="85" spans="2:3" ht="15.75">
      <c r="B85" s="256" t="s">
        <v>847</v>
      </c>
      <c r="C85" s="257" t="e">
        <f>SUM(C79:C84)</f>
        <v>#REF!</v>
      </c>
    </row>
    <row r="86" spans="2:3" ht="15.75">
      <c r="B86" s="256" t="s">
        <v>1110</v>
      </c>
      <c r="C86" s="257">
        <f>'[1]QT LCT'!G8</f>
        <v>0</v>
      </c>
    </row>
    <row r="87" spans="2:3" ht="15.75">
      <c r="B87" s="256" t="s">
        <v>1111</v>
      </c>
      <c r="C87" s="257">
        <f>663160600+160000000</f>
        <v>823160600</v>
      </c>
    </row>
    <row r="88" ht="15.75">
      <c r="C88" s="257" t="e">
        <f>C85+C86+C87</f>
        <v>#REF!</v>
      </c>
    </row>
    <row r="89" ht="15.75">
      <c r="C89" s="257" t="e">
        <f>#REF!*1000000</f>
        <v>#REF!</v>
      </c>
    </row>
    <row r="90" ht="15.75">
      <c r="C90" s="257"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15" customWidth="1"/>
    <col min="2" max="2" width="30.00390625" style="415" customWidth="1"/>
    <col min="3" max="3" width="11.28125" style="415" customWidth="1"/>
    <col min="4" max="20" width="8.57421875" style="415" customWidth="1"/>
    <col min="21" max="16384" width="9.00390625" style="415" customWidth="1"/>
  </cols>
  <sheetData>
    <row r="1" ht="12.75">
      <c r="R1" s="2" t="s">
        <v>72</v>
      </c>
    </row>
    <row r="2" spans="1:20" ht="12.75">
      <c r="A2" s="532" t="s">
        <v>1259</v>
      </c>
      <c r="B2" s="532"/>
      <c r="C2" s="532"/>
      <c r="D2" s="532"/>
      <c r="E2" s="532"/>
      <c r="F2" s="532"/>
      <c r="G2" s="532"/>
      <c r="H2" s="532"/>
      <c r="I2" s="532"/>
      <c r="J2" s="532"/>
      <c r="K2" s="532"/>
      <c r="L2" s="532"/>
      <c r="M2" s="532"/>
      <c r="N2" s="532"/>
      <c r="O2" s="532"/>
      <c r="P2" s="532"/>
      <c r="Q2" s="532"/>
      <c r="R2" s="532"/>
      <c r="S2" s="532"/>
      <c r="T2" s="532"/>
    </row>
    <row r="3" spans="1:20" ht="12.75">
      <c r="A3" s="532" t="s">
        <v>0</v>
      </c>
      <c r="B3" s="532"/>
      <c r="C3" s="532"/>
      <c r="D3" s="532"/>
      <c r="E3" s="532"/>
      <c r="F3" s="532"/>
      <c r="G3" s="532"/>
      <c r="H3" s="532"/>
      <c r="I3" s="532"/>
      <c r="J3" s="532"/>
      <c r="K3" s="532"/>
      <c r="L3" s="532"/>
      <c r="M3" s="532"/>
      <c r="N3" s="532"/>
      <c r="O3" s="532"/>
      <c r="P3" s="532"/>
      <c r="Q3" s="532"/>
      <c r="R3" s="532"/>
      <c r="S3" s="532"/>
      <c r="T3" s="532"/>
    </row>
    <row r="4" spans="4:18" ht="12.75">
      <c r="D4" s="416">
        <v>1000000</v>
      </c>
      <c r="E4" s="416"/>
      <c r="R4" s="3" t="s">
        <v>1</v>
      </c>
    </row>
    <row r="5" spans="1:20" ht="12.75">
      <c r="A5" s="531" t="s">
        <v>2</v>
      </c>
      <c r="B5" s="531" t="s">
        <v>60</v>
      </c>
      <c r="C5" s="531" t="s">
        <v>3</v>
      </c>
      <c r="D5" s="531" t="s">
        <v>4</v>
      </c>
      <c r="E5" s="531" t="s">
        <v>31</v>
      </c>
      <c r="F5" s="531" t="s">
        <v>36</v>
      </c>
      <c r="G5" s="531" t="s">
        <v>41</v>
      </c>
      <c r="H5" s="531" t="s">
        <v>42</v>
      </c>
      <c r="I5" s="531" t="s">
        <v>43</v>
      </c>
      <c r="J5" s="531" t="s">
        <v>44</v>
      </c>
      <c r="K5" s="531" t="s">
        <v>45</v>
      </c>
      <c r="L5" s="531" t="s">
        <v>46</v>
      </c>
      <c r="M5" s="531" t="s">
        <v>47</v>
      </c>
      <c r="N5" s="531" t="s">
        <v>48</v>
      </c>
      <c r="O5" s="531" t="s">
        <v>66</v>
      </c>
      <c r="P5" s="531"/>
      <c r="Q5" s="531" t="s">
        <v>49</v>
      </c>
      <c r="R5" s="531" t="s">
        <v>50</v>
      </c>
      <c r="S5" s="531" t="s">
        <v>51</v>
      </c>
      <c r="T5" s="531" t="s">
        <v>28</v>
      </c>
    </row>
    <row r="6" spans="1:20" ht="102">
      <c r="A6" s="531"/>
      <c r="B6" s="531"/>
      <c r="C6" s="531"/>
      <c r="D6" s="531"/>
      <c r="E6" s="531"/>
      <c r="F6" s="531"/>
      <c r="G6" s="531"/>
      <c r="H6" s="531"/>
      <c r="I6" s="531"/>
      <c r="J6" s="531"/>
      <c r="K6" s="531"/>
      <c r="L6" s="531"/>
      <c r="M6" s="531"/>
      <c r="N6" s="531"/>
      <c r="O6" s="413" t="s">
        <v>67</v>
      </c>
      <c r="P6" s="413" t="s">
        <v>68</v>
      </c>
      <c r="Q6" s="531"/>
      <c r="R6" s="531"/>
      <c r="S6" s="531"/>
      <c r="T6" s="531"/>
    </row>
    <row r="7" spans="1:20" ht="12.75">
      <c r="A7" s="412" t="s">
        <v>5</v>
      </c>
      <c r="B7" s="412" t="s">
        <v>6</v>
      </c>
      <c r="C7" s="10">
        <v>1</v>
      </c>
      <c r="D7" s="10">
        <v>2</v>
      </c>
      <c r="E7" s="412">
        <v>3</v>
      </c>
      <c r="F7" s="412">
        <v>4</v>
      </c>
      <c r="G7" s="412">
        <v>5</v>
      </c>
      <c r="H7" s="412">
        <v>6</v>
      </c>
      <c r="I7" s="412">
        <v>7</v>
      </c>
      <c r="J7" s="412">
        <v>8</v>
      </c>
      <c r="K7" s="412">
        <v>9</v>
      </c>
      <c r="L7" s="412">
        <v>10</v>
      </c>
      <c r="M7" s="412">
        <v>11</v>
      </c>
      <c r="N7" s="412">
        <v>12</v>
      </c>
      <c r="O7" s="412">
        <v>13</v>
      </c>
      <c r="P7" s="412">
        <v>14</v>
      </c>
      <c r="Q7" s="412">
        <v>15</v>
      </c>
      <c r="R7" s="412">
        <v>16</v>
      </c>
      <c r="S7" s="412">
        <v>17</v>
      </c>
      <c r="T7" s="412" t="s">
        <v>73</v>
      </c>
    </row>
    <row r="8" spans="1:20" ht="12.75">
      <c r="A8" s="412"/>
      <c r="B8" s="4" t="s">
        <v>62</v>
      </c>
      <c r="C8" s="340"/>
      <c r="D8" s="340"/>
      <c r="E8" s="468"/>
      <c r="F8" s="468"/>
      <c r="G8" s="468"/>
      <c r="H8" s="468"/>
      <c r="I8" s="468"/>
      <c r="J8" s="468"/>
      <c r="K8" s="468"/>
      <c r="L8" s="468"/>
      <c r="M8" s="468"/>
      <c r="N8" s="468"/>
      <c r="O8" s="468"/>
      <c r="P8" s="468"/>
      <c r="Q8" s="468"/>
      <c r="R8" s="468"/>
      <c r="S8" s="468"/>
      <c r="T8" s="468"/>
    </row>
    <row r="9" spans="1:20" ht="12.75">
      <c r="A9" s="417" t="s">
        <v>5</v>
      </c>
      <c r="B9" s="418" t="s">
        <v>16</v>
      </c>
      <c r="C9" s="469">
        <f aca="true" t="shared" si="0" ref="C9:T9">C10+C13+C18+C185+C196+C274+C291+C294+C297+C301+C314+C399+C440+C442</f>
        <v>1061404.586623</v>
      </c>
      <c r="D9" s="469">
        <f t="shared" si="0"/>
        <v>994709.1450669998</v>
      </c>
      <c r="E9" s="469">
        <f t="shared" si="0"/>
        <v>335688.5477479999</v>
      </c>
      <c r="F9" s="469">
        <f t="shared" si="0"/>
        <v>16595.839</v>
      </c>
      <c r="G9" s="469">
        <f t="shared" si="0"/>
        <v>0</v>
      </c>
      <c r="H9" s="469">
        <f t="shared" si="0"/>
        <v>0</v>
      </c>
      <c r="I9" s="469">
        <f t="shared" si="0"/>
        <v>219145.98280300002</v>
      </c>
      <c r="J9" s="469">
        <f t="shared" si="0"/>
        <v>26803.0045</v>
      </c>
      <c r="K9" s="469">
        <f t="shared" si="0"/>
        <v>31489.7</v>
      </c>
      <c r="L9" s="469">
        <f t="shared" si="0"/>
        <v>2742</v>
      </c>
      <c r="M9" s="469">
        <f t="shared" si="0"/>
        <v>0</v>
      </c>
      <c r="N9" s="469">
        <f t="shared" si="0"/>
        <v>13227.109</v>
      </c>
      <c r="O9" s="469">
        <f t="shared" si="0"/>
        <v>0</v>
      </c>
      <c r="P9" s="469">
        <f t="shared" si="0"/>
        <v>0</v>
      </c>
      <c r="Q9" s="469">
        <f t="shared" si="0"/>
        <v>329326.417658</v>
      </c>
      <c r="R9" s="469">
        <f t="shared" si="0"/>
        <v>19690.544358000003</v>
      </c>
      <c r="S9" s="469">
        <f t="shared" si="0"/>
        <v>0</v>
      </c>
      <c r="T9" s="469">
        <f t="shared" si="0"/>
        <v>0</v>
      </c>
    </row>
    <row r="10" spans="1:20" s="422" customFormat="1" ht="12.75">
      <c r="A10" s="419" t="s">
        <v>7</v>
      </c>
      <c r="B10" s="420" t="s">
        <v>1260</v>
      </c>
      <c r="C10" s="476">
        <f>SUM(C11:C12)</f>
        <v>2631.508</v>
      </c>
      <c r="D10" s="476">
        <f>SUM(D11:D12)</f>
        <v>2205.508</v>
      </c>
      <c r="E10" s="421">
        <f aca="true" t="shared" si="1" ref="E10:T10">SUM(E11:E12)</f>
        <v>0</v>
      </c>
      <c r="F10" s="421">
        <f t="shared" si="1"/>
        <v>0</v>
      </c>
      <c r="G10" s="421">
        <f t="shared" si="1"/>
        <v>0</v>
      </c>
      <c r="H10" s="421">
        <f t="shared" si="1"/>
        <v>0</v>
      </c>
      <c r="I10" s="421">
        <f t="shared" si="1"/>
        <v>0</v>
      </c>
      <c r="J10" s="421">
        <f t="shared" si="1"/>
        <v>2205.508</v>
      </c>
      <c r="K10" s="421">
        <f t="shared" si="1"/>
        <v>0</v>
      </c>
      <c r="L10" s="421">
        <f t="shared" si="1"/>
        <v>0</v>
      </c>
      <c r="M10" s="421">
        <f t="shared" si="1"/>
        <v>0</v>
      </c>
      <c r="N10" s="421">
        <f t="shared" si="1"/>
        <v>0</v>
      </c>
      <c r="O10" s="421">
        <f t="shared" si="1"/>
        <v>0</v>
      </c>
      <c r="P10" s="421">
        <f t="shared" si="1"/>
        <v>0</v>
      </c>
      <c r="Q10" s="421">
        <f t="shared" si="1"/>
        <v>0</v>
      </c>
      <c r="R10" s="421">
        <f t="shared" si="1"/>
        <v>0</v>
      </c>
      <c r="S10" s="421">
        <f t="shared" si="1"/>
        <v>0</v>
      </c>
      <c r="T10" s="421">
        <f t="shared" si="1"/>
        <v>0</v>
      </c>
    </row>
    <row r="11" spans="1:20" ht="12.75">
      <c r="A11" s="423"/>
      <c r="B11" s="424" t="s">
        <v>1261</v>
      </c>
      <c r="C11" s="477">
        <f>('[4]Bieu 57'!D10)/1000000</f>
        <v>2505.508</v>
      </c>
      <c r="D11" s="477">
        <f>('[4]Bieu 57'!I10)/1000000</f>
        <v>2205.508</v>
      </c>
      <c r="E11" s="450"/>
      <c r="F11" s="340"/>
      <c r="G11" s="340"/>
      <c r="H11" s="340"/>
      <c r="I11" s="340"/>
      <c r="J11" s="339">
        <f>D11</f>
        <v>2205.508</v>
      </c>
      <c r="K11" s="340"/>
      <c r="L11" s="340"/>
      <c r="M11" s="340"/>
      <c r="N11" s="340"/>
      <c r="O11" s="340"/>
      <c r="P11" s="340"/>
      <c r="Q11" s="340"/>
      <c r="R11" s="340"/>
      <c r="S11" s="340"/>
      <c r="T11" s="340"/>
    </row>
    <row r="12" spans="1:20" ht="12.75">
      <c r="A12" s="423"/>
      <c r="B12" s="424" t="s">
        <v>1262</v>
      </c>
      <c r="C12" s="477">
        <f>('[4]Bieu 57'!D11)/1000000</f>
        <v>126</v>
      </c>
      <c r="D12" s="477">
        <f>'[4]Bieu 57'!I11</f>
        <v>0</v>
      </c>
      <c r="E12" s="450"/>
      <c r="F12" s="340"/>
      <c r="G12" s="340"/>
      <c r="H12" s="340"/>
      <c r="I12" s="340"/>
      <c r="J12" s="340"/>
      <c r="K12" s="340"/>
      <c r="L12" s="340"/>
      <c r="M12" s="340"/>
      <c r="N12" s="340"/>
      <c r="O12" s="340"/>
      <c r="P12" s="340"/>
      <c r="Q12" s="340"/>
      <c r="R12" s="340"/>
      <c r="S12" s="340"/>
      <c r="T12" s="340"/>
    </row>
    <row r="13" spans="1:20" s="422" customFormat="1" ht="12.75">
      <c r="A13" s="419" t="s">
        <v>9</v>
      </c>
      <c r="B13" s="420" t="s">
        <v>1263</v>
      </c>
      <c r="C13" s="477">
        <f aca="true" t="shared" si="2" ref="C13:T13">SUM(C14:C17)</f>
        <v>2455.321</v>
      </c>
      <c r="D13" s="477">
        <f t="shared" si="2"/>
        <v>2453.621</v>
      </c>
      <c r="E13" s="450">
        <f t="shared" si="2"/>
        <v>0</v>
      </c>
      <c r="F13" s="469">
        <f t="shared" si="2"/>
        <v>0</v>
      </c>
      <c r="G13" s="469">
        <f t="shared" si="2"/>
        <v>0</v>
      </c>
      <c r="H13" s="469">
        <f t="shared" si="2"/>
        <v>0</v>
      </c>
      <c r="I13" s="469">
        <f t="shared" si="2"/>
        <v>0</v>
      </c>
      <c r="J13" s="469">
        <f t="shared" si="2"/>
        <v>2453.621</v>
      </c>
      <c r="K13" s="469">
        <f t="shared" si="2"/>
        <v>0</v>
      </c>
      <c r="L13" s="469">
        <f t="shared" si="2"/>
        <v>0</v>
      </c>
      <c r="M13" s="469">
        <f t="shared" si="2"/>
        <v>0</v>
      </c>
      <c r="N13" s="469">
        <f t="shared" si="2"/>
        <v>0</v>
      </c>
      <c r="O13" s="469">
        <f t="shared" si="2"/>
        <v>0</v>
      </c>
      <c r="P13" s="469">
        <f t="shared" si="2"/>
        <v>0</v>
      </c>
      <c r="Q13" s="469">
        <f t="shared" si="2"/>
        <v>0</v>
      </c>
      <c r="R13" s="469">
        <f t="shared" si="2"/>
        <v>0</v>
      </c>
      <c r="S13" s="469">
        <f t="shared" si="2"/>
        <v>0</v>
      </c>
      <c r="T13" s="469">
        <f t="shared" si="2"/>
        <v>0</v>
      </c>
    </row>
    <row r="14" spans="1:20" ht="12.75">
      <c r="A14" s="423">
        <v>1</v>
      </c>
      <c r="B14" s="425" t="s">
        <v>366</v>
      </c>
      <c r="C14" s="477">
        <f>('[4]Bieu 57'!D13)/1000000</f>
        <v>1342</v>
      </c>
      <c r="D14" s="477">
        <f>('[4]Bieu 57'!I13)/1000000</f>
        <v>1342</v>
      </c>
      <c r="E14" s="450"/>
      <c r="F14" s="468"/>
      <c r="G14" s="468"/>
      <c r="H14" s="468"/>
      <c r="I14" s="468"/>
      <c r="J14" s="471">
        <f>D14</f>
        <v>1342</v>
      </c>
      <c r="K14" s="468"/>
      <c r="L14" s="468"/>
      <c r="M14" s="468"/>
      <c r="N14" s="468"/>
      <c r="O14" s="468"/>
      <c r="P14" s="468"/>
      <c r="Q14" s="468"/>
      <c r="R14" s="468"/>
      <c r="S14" s="468"/>
      <c r="T14" s="468"/>
    </row>
    <row r="15" spans="1:20" ht="12.75">
      <c r="A15" s="423">
        <v>2</v>
      </c>
      <c r="B15" s="426" t="s">
        <v>1264</v>
      </c>
      <c r="C15" s="477">
        <f>('[4]Bieu 57'!D14)/1000000</f>
        <v>433.321</v>
      </c>
      <c r="D15" s="477">
        <f>('[4]Bieu 57'!I14)/1000000</f>
        <v>431.621</v>
      </c>
      <c r="E15" s="340"/>
      <c r="F15" s="340"/>
      <c r="G15" s="340"/>
      <c r="H15" s="340"/>
      <c r="I15" s="340"/>
      <c r="J15" s="339">
        <f>D15</f>
        <v>431.621</v>
      </c>
      <c r="K15" s="340"/>
      <c r="L15" s="340"/>
      <c r="M15" s="340"/>
      <c r="N15" s="340"/>
      <c r="O15" s="340"/>
      <c r="P15" s="340"/>
      <c r="Q15" s="340"/>
      <c r="R15" s="340"/>
      <c r="S15" s="340"/>
      <c r="T15" s="340"/>
    </row>
    <row r="16" spans="1:20" ht="12.75">
      <c r="A16" s="423">
        <v>3</v>
      </c>
      <c r="B16" s="426" t="s">
        <v>1265</v>
      </c>
      <c r="C16" s="477">
        <f>('[4]Bieu 57'!D15)/1000000</f>
        <v>50</v>
      </c>
      <c r="D16" s="477">
        <f>('[4]Bieu 57'!I15)/1000000</f>
        <v>50</v>
      </c>
      <c r="E16" s="340"/>
      <c r="F16" s="340"/>
      <c r="G16" s="340"/>
      <c r="H16" s="340"/>
      <c r="I16" s="340"/>
      <c r="J16" s="339">
        <f>D16</f>
        <v>50</v>
      </c>
      <c r="K16" s="340"/>
      <c r="L16" s="340"/>
      <c r="M16" s="340"/>
      <c r="N16" s="340"/>
      <c r="O16" s="340"/>
      <c r="P16" s="340"/>
      <c r="Q16" s="340"/>
      <c r="R16" s="340"/>
      <c r="S16" s="340"/>
      <c r="T16" s="340"/>
    </row>
    <row r="17" spans="1:20" ht="12.75">
      <c r="A17" s="423">
        <v>4</v>
      </c>
      <c r="B17" s="426" t="s">
        <v>1266</v>
      </c>
      <c r="C17" s="477">
        <f>('[4]Bieu 57'!D16)/1000000</f>
        <v>630</v>
      </c>
      <c r="D17" s="477">
        <f>('[4]Bieu 57'!I16)/1000000</f>
        <v>630</v>
      </c>
      <c r="E17" s="340"/>
      <c r="F17" s="340"/>
      <c r="G17" s="340"/>
      <c r="H17" s="340"/>
      <c r="I17" s="340"/>
      <c r="J17" s="339">
        <f>D17</f>
        <v>630</v>
      </c>
      <c r="K17" s="340"/>
      <c r="L17" s="340"/>
      <c r="M17" s="340"/>
      <c r="N17" s="340"/>
      <c r="O17" s="340"/>
      <c r="P17" s="340"/>
      <c r="Q17" s="340"/>
      <c r="R17" s="340"/>
      <c r="S17" s="340"/>
      <c r="T17" s="340"/>
    </row>
    <row r="18" spans="1:20" s="422" customFormat="1" ht="25.5">
      <c r="A18" s="427" t="s">
        <v>10</v>
      </c>
      <c r="B18" s="364" t="s">
        <v>1267</v>
      </c>
      <c r="C18" s="469">
        <f>C19+C140</f>
        <v>340243.189362</v>
      </c>
      <c r="D18" s="469">
        <f>D19+D140</f>
        <v>335688.5477479999</v>
      </c>
      <c r="E18" s="469">
        <f aca="true" t="shared" si="3" ref="E18:T18">E19+E140</f>
        <v>335688.5477479999</v>
      </c>
      <c r="F18" s="469">
        <f t="shared" si="3"/>
        <v>0</v>
      </c>
      <c r="G18" s="469">
        <f t="shared" si="3"/>
        <v>0</v>
      </c>
      <c r="H18" s="469">
        <f t="shared" si="3"/>
        <v>0</v>
      </c>
      <c r="I18" s="469">
        <f t="shared" si="3"/>
        <v>0</v>
      </c>
      <c r="J18" s="469">
        <f t="shared" si="3"/>
        <v>0</v>
      </c>
      <c r="K18" s="469">
        <f t="shared" si="3"/>
        <v>0</v>
      </c>
      <c r="L18" s="469">
        <f t="shared" si="3"/>
        <v>0</v>
      </c>
      <c r="M18" s="469">
        <f t="shared" si="3"/>
        <v>0</v>
      </c>
      <c r="N18" s="469">
        <f t="shared" si="3"/>
        <v>0</v>
      </c>
      <c r="O18" s="469">
        <f t="shared" si="3"/>
        <v>0</v>
      </c>
      <c r="P18" s="469">
        <f t="shared" si="3"/>
        <v>0</v>
      </c>
      <c r="Q18" s="469">
        <f t="shared" si="3"/>
        <v>0</v>
      </c>
      <c r="R18" s="469">
        <f t="shared" si="3"/>
        <v>0</v>
      </c>
      <c r="S18" s="469">
        <f t="shared" si="3"/>
        <v>0</v>
      </c>
      <c r="T18" s="469">
        <f t="shared" si="3"/>
        <v>0</v>
      </c>
    </row>
    <row r="19" spans="1:20" ht="12.75">
      <c r="A19" s="427" t="s">
        <v>1268</v>
      </c>
      <c r="B19" s="364" t="s">
        <v>1269</v>
      </c>
      <c r="C19" s="469">
        <f>C20+C59+C85+C117+C135</f>
        <v>284068.24012</v>
      </c>
      <c r="D19" s="469">
        <f>D20+D59+D85+D117+D135</f>
        <v>280733.9141199999</v>
      </c>
      <c r="E19" s="469">
        <f aca="true" t="shared" si="4" ref="E19:T19">E20+E59+E85+E117+E135</f>
        <v>280733.9141199999</v>
      </c>
      <c r="F19" s="469">
        <f t="shared" si="4"/>
        <v>0</v>
      </c>
      <c r="G19" s="469">
        <f t="shared" si="4"/>
        <v>0</v>
      </c>
      <c r="H19" s="469">
        <f t="shared" si="4"/>
        <v>0</v>
      </c>
      <c r="I19" s="469">
        <f t="shared" si="4"/>
        <v>0</v>
      </c>
      <c r="J19" s="469">
        <f t="shared" si="4"/>
        <v>0</v>
      </c>
      <c r="K19" s="469">
        <f t="shared" si="4"/>
        <v>0</v>
      </c>
      <c r="L19" s="469">
        <f t="shared" si="4"/>
        <v>0</v>
      </c>
      <c r="M19" s="469">
        <f t="shared" si="4"/>
        <v>0</v>
      </c>
      <c r="N19" s="469">
        <f t="shared" si="4"/>
        <v>0</v>
      </c>
      <c r="O19" s="469">
        <f t="shared" si="4"/>
        <v>0</v>
      </c>
      <c r="P19" s="469">
        <f t="shared" si="4"/>
        <v>0</v>
      </c>
      <c r="Q19" s="469">
        <f t="shared" si="4"/>
        <v>0</v>
      </c>
      <c r="R19" s="469">
        <f t="shared" si="4"/>
        <v>0</v>
      </c>
      <c r="S19" s="469">
        <f t="shared" si="4"/>
        <v>0</v>
      </c>
      <c r="T19" s="469">
        <f t="shared" si="4"/>
        <v>0</v>
      </c>
    </row>
    <row r="20" spans="1:20" s="422" customFormat="1" ht="12.75">
      <c r="A20" s="419" t="s">
        <v>92</v>
      </c>
      <c r="B20" s="420" t="s">
        <v>1270</v>
      </c>
      <c r="C20" s="469">
        <f>SUM(C21:C58)</f>
        <v>264159.88447</v>
      </c>
      <c r="D20" s="469">
        <f aca="true" t="shared" si="5" ref="D20:T20">SUM(D21:D58)</f>
        <v>260855.71346999996</v>
      </c>
      <c r="E20" s="469">
        <f t="shared" si="5"/>
        <v>260855.71346999996</v>
      </c>
      <c r="F20" s="469">
        <f t="shared" si="5"/>
        <v>0</v>
      </c>
      <c r="G20" s="469">
        <f t="shared" si="5"/>
        <v>0</v>
      </c>
      <c r="H20" s="469">
        <f t="shared" si="5"/>
        <v>0</v>
      </c>
      <c r="I20" s="469">
        <f t="shared" si="5"/>
        <v>0</v>
      </c>
      <c r="J20" s="469">
        <f t="shared" si="5"/>
        <v>0</v>
      </c>
      <c r="K20" s="469">
        <f t="shared" si="5"/>
        <v>0</v>
      </c>
      <c r="L20" s="469">
        <f t="shared" si="5"/>
        <v>0</v>
      </c>
      <c r="M20" s="469">
        <f t="shared" si="5"/>
        <v>0</v>
      </c>
      <c r="N20" s="469">
        <f t="shared" si="5"/>
        <v>0</v>
      </c>
      <c r="O20" s="469">
        <f t="shared" si="5"/>
        <v>0</v>
      </c>
      <c r="P20" s="469">
        <f t="shared" si="5"/>
        <v>0</v>
      </c>
      <c r="Q20" s="469">
        <f t="shared" si="5"/>
        <v>0</v>
      </c>
      <c r="R20" s="469">
        <f t="shared" si="5"/>
        <v>0</v>
      </c>
      <c r="S20" s="469">
        <f t="shared" si="5"/>
        <v>0</v>
      </c>
      <c r="T20" s="469">
        <f t="shared" si="5"/>
        <v>0</v>
      </c>
    </row>
    <row r="21" spans="1:20" ht="12.75">
      <c r="A21" s="423">
        <v>1</v>
      </c>
      <c r="B21" s="428" t="s">
        <v>1271</v>
      </c>
      <c r="C21" s="470">
        <f>('[4]Bieu 57'!D21)/1000000</f>
        <v>34102.629</v>
      </c>
      <c r="D21" s="470">
        <f>('[4]Bieu 57'!I21)/1000000</f>
        <v>31016.426</v>
      </c>
      <c r="E21" s="339">
        <f>D21</f>
        <v>31016.426</v>
      </c>
      <c r="F21" s="340"/>
      <c r="G21" s="340"/>
      <c r="H21" s="340"/>
      <c r="I21" s="340"/>
      <c r="J21" s="340"/>
      <c r="K21" s="340"/>
      <c r="L21" s="340"/>
      <c r="M21" s="340"/>
      <c r="N21" s="340"/>
      <c r="O21" s="340"/>
      <c r="P21" s="340"/>
      <c r="Q21" s="340"/>
      <c r="R21" s="340"/>
      <c r="S21" s="340"/>
      <c r="T21" s="340"/>
    </row>
    <row r="22" spans="1:20" ht="12.75">
      <c r="A22" s="429">
        <v>2</v>
      </c>
      <c r="B22" s="430" t="s">
        <v>1272</v>
      </c>
      <c r="C22" s="470">
        <f>('[4]Bieu 57'!D22)/1000000</f>
        <v>8086.483</v>
      </c>
      <c r="D22" s="470">
        <f>('[4]Bieu 57'!I22)/1000000</f>
        <v>7998.643</v>
      </c>
      <c r="E22" s="339">
        <f aca="true" t="shared" si="6" ref="E22:E58">D22</f>
        <v>7998.643</v>
      </c>
      <c r="F22" s="340"/>
      <c r="G22" s="340"/>
      <c r="H22" s="340"/>
      <c r="I22" s="340"/>
      <c r="J22" s="340"/>
      <c r="K22" s="340"/>
      <c r="L22" s="340"/>
      <c r="M22" s="340"/>
      <c r="N22" s="340"/>
      <c r="O22" s="340"/>
      <c r="P22" s="340"/>
      <c r="Q22" s="340"/>
      <c r="R22" s="340"/>
      <c r="S22" s="340"/>
      <c r="T22" s="340"/>
    </row>
    <row r="23" spans="1:20" ht="12.75">
      <c r="A23" s="423">
        <v>3</v>
      </c>
      <c r="B23" s="430" t="s">
        <v>1273</v>
      </c>
      <c r="C23" s="470">
        <f>('[4]Bieu 57'!D23)/1000000</f>
        <v>8750.441</v>
      </c>
      <c r="D23" s="470">
        <f>('[4]Bieu 57'!I23)/1000000</f>
        <v>8725.833</v>
      </c>
      <c r="E23" s="339">
        <f t="shared" si="6"/>
        <v>8725.833</v>
      </c>
      <c r="F23" s="340"/>
      <c r="G23" s="340"/>
      <c r="H23" s="340"/>
      <c r="I23" s="340"/>
      <c r="J23" s="340"/>
      <c r="K23" s="340"/>
      <c r="L23" s="340"/>
      <c r="M23" s="340"/>
      <c r="N23" s="340"/>
      <c r="O23" s="340"/>
      <c r="P23" s="340"/>
      <c r="Q23" s="340"/>
      <c r="R23" s="340"/>
      <c r="S23" s="340"/>
      <c r="T23" s="340"/>
    </row>
    <row r="24" spans="1:20" ht="12.75">
      <c r="A24" s="429">
        <v>4</v>
      </c>
      <c r="B24" s="430" t="s">
        <v>1274</v>
      </c>
      <c r="C24" s="470">
        <f>('[4]Bieu 57'!D24)/1000000</f>
        <v>8148.63</v>
      </c>
      <c r="D24" s="470">
        <f>('[4]Bieu 57'!I24)/1000000</f>
        <v>8101.31</v>
      </c>
      <c r="E24" s="339">
        <f t="shared" si="6"/>
        <v>8101.31</v>
      </c>
      <c r="F24" s="340"/>
      <c r="G24" s="340"/>
      <c r="H24" s="340"/>
      <c r="I24" s="340"/>
      <c r="J24" s="340"/>
      <c r="K24" s="340"/>
      <c r="L24" s="340"/>
      <c r="M24" s="340"/>
      <c r="N24" s="340"/>
      <c r="O24" s="340"/>
      <c r="P24" s="340"/>
      <c r="Q24" s="340"/>
      <c r="R24" s="340"/>
      <c r="S24" s="340"/>
      <c r="T24" s="340"/>
    </row>
    <row r="25" spans="1:20" ht="12.75">
      <c r="A25" s="423">
        <v>5</v>
      </c>
      <c r="B25" s="430" t="s">
        <v>1166</v>
      </c>
      <c r="C25" s="470">
        <f>('[4]Bieu 57'!D25)/1000000</f>
        <v>4084.425</v>
      </c>
      <c r="D25" s="470">
        <f>('[4]Bieu 57'!I25)/1000000</f>
        <v>4084.425</v>
      </c>
      <c r="E25" s="339">
        <f t="shared" si="6"/>
        <v>4084.425</v>
      </c>
      <c r="F25" s="340"/>
      <c r="G25" s="340"/>
      <c r="H25" s="340"/>
      <c r="I25" s="340"/>
      <c r="J25" s="340"/>
      <c r="K25" s="340"/>
      <c r="L25" s="340"/>
      <c r="M25" s="340"/>
      <c r="N25" s="340"/>
      <c r="O25" s="340"/>
      <c r="P25" s="340"/>
      <c r="Q25" s="340"/>
      <c r="R25" s="340"/>
      <c r="S25" s="340"/>
      <c r="T25" s="340"/>
    </row>
    <row r="26" spans="1:20" ht="12.75">
      <c r="A26" s="429">
        <v>6</v>
      </c>
      <c r="B26" s="430" t="s">
        <v>1275</v>
      </c>
      <c r="C26" s="470">
        <f>('[4]Bieu 57'!D26)/1000000</f>
        <v>6722.741</v>
      </c>
      <c r="D26" s="470">
        <f>('[4]Bieu 57'!I26)/1000000</f>
        <v>6722.741</v>
      </c>
      <c r="E26" s="339">
        <f t="shared" si="6"/>
        <v>6722.741</v>
      </c>
      <c r="F26" s="340"/>
      <c r="G26" s="340"/>
      <c r="H26" s="340"/>
      <c r="I26" s="340"/>
      <c r="J26" s="340"/>
      <c r="K26" s="340"/>
      <c r="L26" s="340"/>
      <c r="M26" s="340"/>
      <c r="N26" s="340"/>
      <c r="O26" s="340"/>
      <c r="P26" s="340"/>
      <c r="Q26" s="340"/>
      <c r="R26" s="340"/>
      <c r="S26" s="340"/>
      <c r="T26" s="340"/>
    </row>
    <row r="27" spans="1:20" ht="12.75">
      <c r="A27" s="423">
        <v>7</v>
      </c>
      <c r="B27" s="430" t="s">
        <v>1167</v>
      </c>
      <c r="C27" s="470">
        <f>('[4]Bieu 57'!D27)/1000000</f>
        <v>3649.711</v>
      </c>
      <c r="D27" s="470">
        <f>('[4]Bieu 57'!I27)/1000000</f>
        <v>3649.711</v>
      </c>
      <c r="E27" s="339">
        <f t="shared" si="6"/>
        <v>3649.711</v>
      </c>
      <c r="F27" s="340"/>
      <c r="G27" s="340"/>
      <c r="H27" s="340"/>
      <c r="I27" s="340"/>
      <c r="J27" s="340"/>
      <c r="K27" s="340"/>
      <c r="L27" s="340"/>
      <c r="M27" s="340"/>
      <c r="N27" s="340"/>
      <c r="O27" s="340"/>
      <c r="P27" s="340"/>
      <c r="Q27" s="340"/>
      <c r="R27" s="340"/>
      <c r="S27" s="340"/>
      <c r="T27" s="340"/>
    </row>
    <row r="28" spans="1:20" ht="12.75">
      <c r="A28" s="429">
        <v>8</v>
      </c>
      <c r="B28" s="430" t="s">
        <v>1168</v>
      </c>
      <c r="C28" s="470">
        <f>('[4]Bieu 57'!D28)/1000000</f>
        <v>4058.901</v>
      </c>
      <c r="D28" s="470">
        <f>('[4]Bieu 57'!I28)/1000000</f>
        <v>4058.9010000000003</v>
      </c>
      <c r="E28" s="339">
        <f t="shared" si="6"/>
        <v>4058.9010000000003</v>
      </c>
      <c r="F28" s="340"/>
      <c r="G28" s="340"/>
      <c r="H28" s="340"/>
      <c r="I28" s="340"/>
      <c r="J28" s="340"/>
      <c r="K28" s="340"/>
      <c r="L28" s="340"/>
      <c r="M28" s="340"/>
      <c r="N28" s="340"/>
      <c r="O28" s="340"/>
      <c r="P28" s="340"/>
      <c r="Q28" s="340"/>
      <c r="R28" s="340"/>
      <c r="S28" s="340"/>
      <c r="T28" s="340"/>
    </row>
    <row r="29" spans="1:20" ht="12.75">
      <c r="A29" s="423">
        <v>9</v>
      </c>
      <c r="B29" s="430" t="s">
        <v>1169</v>
      </c>
      <c r="C29" s="470">
        <f>('[4]Bieu 57'!D29)/1000000</f>
        <v>8116.109999999999</v>
      </c>
      <c r="D29" s="470">
        <f>('[4]Bieu 57'!I29)/1000000</f>
        <v>8116.11</v>
      </c>
      <c r="E29" s="339">
        <f t="shared" si="6"/>
        <v>8116.11</v>
      </c>
      <c r="F29" s="340"/>
      <c r="G29" s="340"/>
      <c r="H29" s="340"/>
      <c r="I29" s="340"/>
      <c r="J29" s="340"/>
      <c r="K29" s="340"/>
      <c r="L29" s="340"/>
      <c r="M29" s="340"/>
      <c r="N29" s="340"/>
      <c r="O29" s="340"/>
      <c r="P29" s="340"/>
      <c r="Q29" s="340"/>
      <c r="R29" s="340"/>
      <c r="S29" s="340"/>
      <c r="T29" s="340"/>
    </row>
    <row r="30" spans="1:20" ht="12.75">
      <c r="A30" s="429">
        <v>10</v>
      </c>
      <c r="B30" s="430" t="s">
        <v>1170</v>
      </c>
      <c r="C30" s="470">
        <f>('[4]Bieu 57'!D30)/1000000</f>
        <v>8604.988000000001</v>
      </c>
      <c r="D30" s="470">
        <f>('[4]Bieu 57'!I30)/1000000</f>
        <v>8604.988000000001</v>
      </c>
      <c r="E30" s="339">
        <f t="shared" si="6"/>
        <v>8604.988000000001</v>
      </c>
      <c r="F30" s="340"/>
      <c r="G30" s="340"/>
      <c r="H30" s="340"/>
      <c r="I30" s="340"/>
      <c r="J30" s="340"/>
      <c r="K30" s="340"/>
      <c r="L30" s="340"/>
      <c r="M30" s="340"/>
      <c r="N30" s="340"/>
      <c r="O30" s="340"/>
      <c r="P30" s="340"/>
      <c r="Q30" s="340"/>
      <c r="R30" s="340"/>
      <c r="S30" s="340"/>
      <c r="T30" s="340"/>
    </row>
    <row r="31" spans="1:20" ht="12.75">
      <c r="A31" s="423">
        <v>11</v>
      </c>
      <c r="B31" s="430" t="s">
        <v>1171</v>
      </c>
      <c r="C31" s="470">
        <f>('[4]Bieu 57'!D31)/1000000</f>
        <v>6811.87</v>
      </c>
      <c r="D31" s="470">
        <f>('[4]Bieu 57'!I31)/1000000</f>
        <v>6811.869999999999</v>
      </c>
      <c r="E31" s="339">
        <f t="shared" si="6"/>
        <v>6811.869999999999</v>
      </c>
      <c r="F31" s="340"/>
      <c r="G31" s="340"/>
      <c r="H31" s="340"/>
      <c r="I31" s="340"/>
      <c r="J31" s="340"/>
      <c r="K31" s="340"/>
      <c r="L31" s="340"/>
      <c r="M31" s="340"/>
      <c r="N31" s="340"/>
      <c r="O31" s="340"/>
      <c r="P31" s="340"/>
      <c r="Q31" s="340"/>
      <c r="R31" s="340"/>
      <c r="S31" s="340"/>
      <c r="T31" s="340"/>
    </row>
    <row r="32" spans="1:20" ht="12.75">
      <c r="A32" s="429">
        <v>12</v>
      </c>
      <c r="B32" s="430" t="s">
        <v>1172</v>
      </c>
      <c r="C32" s="470">
        <f>('[4]Bieu 57'!D32)/1000000</f>
        <v>13298.189</v>
      </c>
      <c r="D32" s="470">
        <f>('[4]Bieu 57'!I32)/1000000</f>
        <v>13239.989</v>
      </c>
      <c r="E32" s="339">
        <f t="shared" si="6"/>
        <v>13239.989</v>
      </c>
      <c r="F32" s="340"/>
      <c r="G32" s="340"/>
      <c r="H32" s="340"/>
      <c r="I32" s="340"/>
      <c r="J32" s="340"/>
      <c r="K32" s="340"/>
      <c r="L32" s="340"/>
      <c r="M32" s="340"/>
      <c r="N32" s="340"/>
      <c r="O32" s="340"/>
      <c r="P32" s="340"/>
      <c r="Q32" s="340"/>
      <c r="R32" s="340"/>
      <c r="S32" s="340"/>
      <c r="T32" s="340"/>
    </row>
    <row r="33" spans="1:20" ht="12.75">
      <c r="A33" s="423">
        <v>13</v>
      </c>
      <c r="B33" s="430" t="s">
        <v>1173</v>
      </c>
      <c r="C33" s="470">
        <f>('[4]Bieu 57'!D33)/1000000</f>
        <v>4976.508</v>
      </c>
      <c r="D33" s="470">
        <f>('[4]Bieu 57'!I33)/1000000</f>
        <v>4976.507999999999</v>
      </c>
      <c r="E33" s="339">
        <f t="shared" si="6"/>
        <v>4976.507999999999</v>
      </c>
      <c r="F33" s="340"/>
      <c r="G33" s="340"/>
      <c r="H33" s="340"/>
      <c r="I33" s="340"/>
      <c r="J33" s="340"/>
      <c r="K33" s="340"/>
      <c r="L33" s="340"/>
      <c r="M33" s="340"/>
      <c r="N33" s="340"/>
      <c r="O33" s="340"/>
      <c r="P33" s="340"/>
      <c r="Q33" s="340"/>
      <c r="R33" s="340"/>
      <c r="S33" s="340"/>
      <c r="T33" s="340"/>
    </row>
    <row r="34" spans="1:20" ht="12.75">
      <c r="A34" s="429">
        <v>14</v>
      </c>
      <c r="B34" s="430" t="s">
        <v>1174</v>
      </c>
      <c r="C34" s="470">
        <f>('[4]Bieu 57'!D34)/1000000</f>
        <v>7019</v>
      </c>
      <c r="D34" s="470">
        <f>('[4]Bieu 57'!I34)/1000000</f>
        <v>7019</v>
      </c>
      <c r="E34" s="339">
        <f t="shared" si="6"/>
        <v>7019</v>
      </c>
      <c r="F34" s="340"/>
      <c r="G34" s="340"/>
      <c r="H34" s="340"/>
      <c r="I34" s="340"/>
      <c r="J34" s="340"/>
      <c r="K34" s="340"/>
      <c r="L34" s="340"/>
      <c r="M34" s="340"/>
      <c r="N34" s="340"/>
      <c r="O34" s="340"/>
      <c r="P34" s="340"/>
      <c r="Q34" s="340"/>
      <c r="R34" s="340"/>
      <c r="S34" s="340"/>
      <c r="T34" s="340"/>
    </row>
    <row r="35" spans="1:20" ht="12.75">
      <c r="A35" s="423">
        <v>15</v>
      </c>
      <c r="B35" s="430" t="s">
        <v>1175</v>
      </c>
      <c r="C35" s="470">
        <f>('[4]Bieu 57'!D35)/1000000</f>
        <v>4747.688</v>
      </c>
      <c r="D35" s="470">
        <f>('[4]Bieu 57'!I35)/1000000</f>
        <v>4747.688</v>
      </c>
      <c r="E35" s="339">
        <f t="shared" si="6"/>
        <v>4747.688</v>
      </c>
      <c r="F35" s="340"/>
      <c r="G35" s="340"/>
      <c r="H35" s="340"/>
      <c r="I35" s="340"/>
      <c r="J35" s="340"/>
      <c r="K35" s="340"/>
      <c r="L35" s="340"/>
      <c r="M35" s="340"/>
      <c r="N35" s="340"/>
      <c r="O35" s="340"/>
      <c r="P35" s="340"/>
      <c r="Q35" s="340"/>
      <c r="R35" s="340"/>
      <c r="S35" s="340"/>
      <c r="T35" s="340"/>
    </row>
    <row r="36" spans="1:20" ht="12.75">
      <c r="A36" s="429">
        <v>16</v>
      </c>
      <c r="B36" s="430" t="s">
        <v>1176</v>
      </c>
      <c r="C36" s="470">
        <f>('[4]Bieu 57'!D36)/1000000</f>
        <v>9867.042</v>
      </c>
      <c r="D36" s="470">
        <f>('[4]Bieu 57'!I36)/1000000</f>
        <v>9867.042</v>
      </c>
      <c r="E36" s="339">
        <f t="shared" si="6"/>
        <v>9867.042</v>
      </c>
      <c r="F36" s="340"/>
      <c r="G36" s="340"/>
      <c r="H36" s="340"/>
      <c r="I36" s="340"/>
      <c r="J36" s="340"/>
      <c r="K36" s="340"/>
      <c r="L36" s="340"/>
      <c r="M36" s="340"/>
      <c r="N36" s="340"/>
      <c r="O36" s="340"/>
      <c r="P36" s="340"/>
      <c r="Q36" s="340"/>
      <c r="R36" s="340"/>
      <c r="S36" s="340"/>
      <c r="T36" s="340"/>
    </row>
    <row r="37" spans="1:20" ht="12.75">
      <c r="A37" s="423">
        <v>17</v>
      </c>
      <c r="B37" s="430" t="s">
        <v>1177</v>
      </c>
      <c r="C37" s="470">
        <f>('[4]Bieu 57'!D37)/1000000</f>
        <v>8509.680999999999</v>
      </c>
      <c r="D37" s="470">
        <f>('[4]Bieu 57'!I37)/1000000</f>
        <v>8509.681</v>
      </c>
      <c r="E37" s="339">
        <f t="shared" si="6"/>
        <v>8509.681</v>
      </c>
      <c r="F37" s="340"/>
      <c r="G37" s="340"/>
      <c r="H37" s="340"/>
      <c r="I37" s="340"/>
      <c r="J37" s="340"/>
      <c r="K37" s="340"/>
      <c r="L37" s="340"/>
      <c r="M37" s="340"/>
      <c r="N37" s="340"/>
      <c r="O37" s="340"/>
      <c r="P37" s="340"/>
      <c r="Q37" s="340"/>
      <c r="R37" s="340"/>
      <c r="S37" s="340"/>
      <c r="T37" s="340"/>
    </row>
    <row r="38" spans="1:20" ht="12.75">
      <c r="A38" s="429">
        <v>18</v>
      </c>
      <c r="B38" s="430" t="s">
        <v>1178</v>
      </c>
      <c r="C38" s="470">
        <f>('[4]Bieu 57'!D38)/1000000</f>
        <v>8567.258</v>
      </c>
      <c r="D38" s="470">
        <f>('[4]Bieu 57'!I38)/1000000</f>
        <v>8567.258</v>
      </c>
      <c r="E38" s="339">
        <f t="shared" si="6"/>
        <v>8567.258</v>
      </c>
      <c r="F38" s="340"/>
      <c r="G38" s="340"/>
      <c r="H38" s="340"/>
      <c r="I38" s="340"/>
      <c r="J38" s="340"/>
      <c r="K38" s="340"/>
      <c r="L38" s="340"/>
      <c r="M38" s="340"/>
      <c r="N38" s="340"/>
      <c r="O38" s="340"/>
      <c r="P38" s="340"/>
      <c r="Q38" s="340"/>
      <c r="R38" s="340"/>
      <c r="S38" s="340"/>
      <c r="T38" s="340"/>
    </row>
    <row r="39" spans="1:20" ht="12.75">
      <c r="A39" s="423">
        <v>19</v>
      </c>
      <c r="B39" s="430" t="s">
        <v>1179</v>
      </c>
      <c r="C39" s="470">
        <f>('[4]Bieu 57'!D39)/1000000</f>
        <v>8466.400999999998</v>
      </c>
      <c r="D39" s="470">
        <f>('[4]Bieu 57'!I39)/1000000</f>
        <v>8466.400999999998</v>
      </c>
      <c r="E39" s="339">
        <f t="shared" si="6"/>
        <v>8466.400999999998</v>
      </c>
      <c r="F39" s="340"/>
      <c r="G39" s="340"/>
      <c r="H39" s="340"/>
      <c r="I39" s="340"/>
      <c r="J39" s="340"/>
      <c r="K39" s="340"/>
      <c r="L39" s="340"/>
      <c r="M39" s="340"/>
      <c r="N39" s="340"/>
      <c r="O39" s="340"/>
      <c r="P39" s="340"/>
      <c r="Q39" s="340"/>
      <c r="R39" s="340"/>
      <c r="S39" s="340"/>
      <c r="T39" s="340"/>
    </row>
    <row r="40" spans="1:20" ht="12.75">
      <c r="A40" s="429">
        <v>20</v>
      </c>
      <c r="B40" s="430" t="s">
        <v>1180</v>
      </c>
      <c r="C40" s="470">
        <f>('[4]Bieu 57'!D40)/1000000</f>
        <v>3673.741</v>
      </c>
      <c r="D40" s="470">
        <f>('[4]Bieu 57'!I40)/1000000</f>
        <v>3673.741</v>
      </c>
      <c r="E40" s="339">
        <f t="shared" si="6"/>
        <v>3673.741</v>
      </c>
      <c r="F40" s="340"/>
      <c r="G40" s="340"/>
      <c r="H40" s="340"/>
      <c r="I40" s="340"/>
      <c r="J40" s="340"/>
      <c r="K40" s="340"/>
      <c r="L40" s="340"/>
      <c r="M40" s="340"/>
      <c r="N40" s="340"/>
      <c r="O40" s="340"/>
      <c r="P40" s="340"/>
      <c r="Q40" s="340"/>
      <c r="R40" s="340"/>
      <c r="S40" s="340"/>
      <c r="T40" s="340"/>
    </row>
    <row r="41" spans="1:20" ht="12.75">
      <c r="A41" s="423">
        <v>21</v>
      </c>
      <c r="B41" s="430" t="s">
        <v>1181</v>
      </c>
      <c r="C41" s="470">
        <f>('[4]Bieu 57'!D41)/1000000</f>
        <v>4926.319</v>
      </c>
      <c r="D41" s="470">
        <f>('[4]Bieu 57'!I41)/1000000</f>
        <v>4926.319</v>
      </c>
      <c r="E41" s="339">
        <f t="shared" si="6"/>
        <v>4926.319</v>
      </c>
      <c r="F41" s="340"/>
      <c r="G41" s="340"/>
      <c r="H41" s="340"/>
      <c r="I41" s="340"/>
      <c r="J41" s="340"/>
      <c r="K41" s="340"/>
      <c r="L41" s="340"/>
      <c r="M41" s="340"/>
      <c r="N41" s="340"/>
      <c r="O41" s="340"/>
      <c r="P41" s="340"/>
      <c r="Q41" s="340"/>
      <c r="R41" s="340"/>
      <c r="S41" s="340"/>
      <c r="T41" s="340"/>
    </row>
    <row r="42" spans="1:20" ht="12.75">
      <c r="A42" s="429">
        <v>22</v>
      </c>
      <c r="B42" s="430" t="s">
        <v>1182</v>
      </c>
      <c r="C42" s="470">
        <f>('[4]Bieu 57'!D42)/1000000</f>
        <v>9927.413</v>
      </c>
      <c r="D42" s="470">
        <f>('[4]Bieu 57'!I42)/1000000</f>
        <v>9927.413</v>
      </c>
      <c r="E42" s="339">
        <f t="shared" si="6"/>
        <v>9927.413</v>
      </c>
      <c r="F42" s="340"/>
      <c r="G42" s="340"/>
      <c r="H42" s="340"/>
      <c r="I42" s="340"/>
      <c r="J42" s="340"/>
      <c r="K42" s="340"/>
      <c r="L42" s="340"/>
      <c r="M42" s="340"/>
      <c r="N42" s="340"/>
      <c r="O42" s="340"/>
      <c r="P42" s="340"/>
      <c r="Q42" s="340"/>
      <c r="R42" s="340"/>
      <c r="S42" s="340"/>
      <c r="T42" s="340"/>
    </row>
    <row r="43" spans="1:20" ht="12.75">
      <c r="A43" s="423">
        <v>23</v>
      </c>
      <c r="B43" s="430" t="s">
        <v>1183</v>
      </c>
      <c r="C43" s="470">
        <f>('[4]Bieu 57'!D43)/1000000</f>
        <v>4025.799</v>
      </c>
      <c r="D43" s="470">
        <f>('[4]Bieu 57'!I43)/1000000</f>
        <v>4025.799</v>
      </c>
      <c r="E43" s="339">
        <f t="shared" si="6"/>
        <v>4025.799</v>
      </c>
      <c r="F43" s="340"/>
      <c r="G43" s="340"/>
      <c r="H43" s="340"/>
      <c r="I43" s="340"/>
      <c r="J43" s="340"/>
      <c r="K43" s="340"/>
      <c r="L43" s="340"/>
      <c r="M43" s="340"/>
      <c r="N43" s="340"/>
      <c r="O43" s="340"/>
      <c r="P43" s="340"/>
      <c r="Q43" s="340"/>
      <c r="R43" s="340"/>
      <c r="S43" s="340"/>
      <c r="T43" s="340"/>
    </row>
    <row r="44" spans="1:20" ht="12.75">
      <c r="A44" s="429">
        <v>24</v>
      </c>
      <c r="B44" s="430" t="s">
        <v>1184</v>
      </c>
      <c r="C44" s="470">
        <f>('[4]Bieu 57'!D44)/1000000</f>
        <v>7729.75947</v>
      </c>
      <c r="D44" s="470">
        <f>('[4]Bieu 57'!I44)/1000000</f>
        <v>7729.75947</v>
      </c>
      <c r="E44" s="339">
        <f t="shared" si="6"/>
        <v>7729.75947</v>
      </c>
      <c r="F44" s="340"/>
      <c r="G44" s="340"/>
      <c r="H44" s="340"/>
      <c r="I44" s="340"/>
      <c r="J44" s="340"/>
      <c r="K44" s="340"/>
      <c r="L44" s="340"/>
      <c r="M44" s="340"/>
      <c r="N44" s="340"/>
      <c r="O44" s="340"/>
      <c r="P44" s="340"/>
      <c r="Q44" s="340"/>
      <c r="R44" s="340"/>
      <c r="S44" s="340"/>
      <c r="T44" s="340"/>
    </row>
    <row r="45" spans="1:20" ht="12.75">
      <c r="A45" s="423">
        <v>25</v>
      </c>
      <c r="B45" s="430" t="s">
        <v>1185</v>
      </c>
      <c r="C45" s="470">
        <f>('[4]Bieu 57'!D45)/1000000</f>
        <v>3054.823</v>
      </c>
      <c r="D45" s="470">
        <f>('[4]Bieu 57'!I45)/1000000</f>
        <v>3054.823</v>
      </c>
      <c r="E45" s="339">
        <f t="shared" si="6"/>
        <v>3054.823</v>
      </c>
      <c r="F45" s="340"/>
      <c r="G45" s="340"/>
      <c r="H45" s="340"/>
      <c r="I45" s="340"/>
      <c r="J45" s="340"/>
      <c r="K45" s="340"/>
      <c r="L45" s="340"/>
      <c r="M45" s="340"/>
      <c r="N45" s="340"/>
      <c r="O45" s="340"/>
      <c r="P45" s="340"/>
      <c r="Q45" s="340"/>
      <c r="R45" s="340"/>
      <c r="S45" s="340"/>
      <c r="T45" s="340"/>
    </row>
    <row r="46" spans="1:20" ht="12.75">
      <c r="A46" s="429">
        <v>26</v>
      </c>
      <c r="B46" s="430" t="s">
        <v>1186</v>
      </c>
      <c r="C46" s="470">
        <f>('[4]Bieu 57'!D46)/1000000</f>
        <v>3717.321</v>
      </c>
      <c r="D46" s="470">
        <f>('[4]Bieu 57'!I46)/1000000</f>
        <v>3717.321</v>
      </c>
      <c r="E46" s="339">
        <f t="shared" si="6"/>
        <v>3717.321</v>
      </c>
      <c r="F46" s="340"/>
      <c r="G46" s="340"/>
      <c r="H46" s="340"/>
      <c r="I46" s="340"/>
      <c r="J46" s="340"/>
      <c r="K46" s="340"/>
      <c r="L46" s="340"/>
      <c r="M46" s="340"/>
      <c r="N46" s="340"/>
      <c r="O46" s="340"/>
      <c r="P46" s="340"/>
      <c r="Q46" s="340"/>
      <c r="R46" s="340"/>
      <c r="S46" s="340"/>
      <c r="T46" s="340"/>
    </row>
    <row r="47" spans="1:20" ht="12.75">
      <c r="A47" s="423">
        <v>27</v>
      </c>
      <c r="B47" s="430" t="s">
        <v>1187</v>
      </c>
      <c r="C47" s="470">
        <f>('[4]Bieu 57'!D47)/1000000</f>
        <v>5745.534</v>
      </c>
      <c r="D47" s="470">
        <f>('[4]Bieu 57'!I47)/1000000</f>
        <v>5745.534</v>
      </c>
      <c r="E47" s="339">
        <f t="shared" si="6"/>
        <v>5745.534</v>
      </c>
      <c r="F47" s="340"/>
      <c r="G47" s="340"/>
      <c r="H47" s="340"/>
      <c r="I47" s="340"/>
      <c r="J47" s="340"/>
      <c r="K47" s="340"/>
      <c r="L47" s="340"/>
      <c r="M47" s="340"/>
      <c r="N47" s="340"/>
      <c r="O47" s="340"/>
      <c r="P47" s="340"/>
      <c r="Q47" s="340"/>
      <c r="R47" s="340"/>
      <c r="S47" s="340"/>
      <c r="T47" s="340"/>
    </row>
    <row r="48" spans="1:20" ht="12.75">
      <c r="A48" s="429">
        <v>28</v>
      </c>
      <c r="B48" s="430" t="s">
        <v>1188</v>
      </c>
      <c r="C48" s="470">
        <f>('[4]Bieu 57'!D48)/1000000</f>
        <v>3453.747</v>
      </c>
      <c r="D48" s="470">
        <f>('[4]Bieu 57'!I48)/1000000</f>
        <v>3453.747</v>
      </c>
      <c r="E48" s="339">
        <f t="shared" si="6"/>
        <v>3453.747</v>
      </c>
      <c r="F48" s="340"/>
      <c r="G48" s="340"/>
      <c r="H48" s="340"/>
      <c r="I48" s="340"/>
      <c r="J48" s="340"/>
      <c r="K48" s="340"/>
      <c r="L48" s="340"/>
      <c r="M48" s="340"/>
      <c r="N48" s="340"/>
      <c r="O48" s="340"/>
      <c r="P48" s="340"/>
      <c r="Q48" s="340"/>
      <c r="R48" s="340"/>
      <c r="S48" s="340"/>
      <c r="T48" s="340"/>
    </row>
    <row r="49" spans="1:20" ht="12.75">
      <c r="A49" s="423">
        <v>29</v>
      </c>
      <c r="B49" s="430" t="s">
        <v>1189</v>
      </c>
      <c r="C49" s="470">
        <f>('[4]Bieu 57'!D49)/1000000</f>
        <v>6556.272</v>
      </c>
      <c r="D49" s="470">
        <f>('[4]Bieu 57'!I49)/1000000</f>
        <v>6556.272</v>
      </c>
      <c r="E49" s="339">
        <f t="shared" si="6"/>
        <v>6556.272</v>
      </c>
      <c r="F49" s="340"/>
      <c r="G49" s="340"/>
      <c r="H49" s="340"/>
      <c r="I49" s="340"/>
      <c r="J49" s="340"/>
      <c r="K49" s="340"/>
      <c r="L49" s="340"/>
      <c r="M49" s="340"/>
      <c r="N49" s="340"/>
      <c r="O49" s="340"/>
      <c r="P49" s="340"/>
      <c r="Q49" s="340"/>
      <c r="R49" s="340"/>
      <c r="S49" s="340"/>
      <c r="T49" s="340"/>
    </row>
    <row r="50" spans="1:20" ht="12.75">
      <c r="A50" s="429">
        <v>30</v>
      </c>
      <c r="B50" s="430" t="s">
        <v>1190</v>
      </c>
      <c r="C50" s="470">
        <f>('[4]Bieu 57'!D50)/1000000</f>
        <v>4192.958</v>
      </c>
      <c r="D50" s="470">
        <f>('[4]Bieu 57'!I50)/1000000</f>
        <v>4192.958</v>
      </c>
      <c r="E50" s="339">
        <f t="shared" si="6"/>
        <v>4192.958</v>
      </c>
      <c r="F50" s="340"/>
      <c r="G50" s="340"/>
      <c r="H50" s="340"/>
      <c r="I50" s="340"/>
      <c r="J50" s="340"/>
      <c r="K50" s="340"/>
      <c r="L50" s="340"/>
      <c r="M50" s="340"/>
      <c r="N50" s="340"/>
      <c r="O50" s="340"/>
      <c r="P50" s="340"/>
      <c r="Q50" s="340"/>
      <c r="R50" s="340"/>
      <c r="S50" s="340"/>
      <c r="T50" s="340"/>
    </row>
    <row r="51" spans="1:20" ht="12.75">
      <c r="A51" s="423">
        <v>31</v>
      </c>
      <c r="B51" s="430" t="s">
        <v>1191</v>
      </c>
      <c r="C51" s="470">
        <f>('[4]Bieu 57'!D51)/1000000</f>
        <v>3744.281</v>
      </c>
      <c r="D51" s="470">
        <f>('[4]Bieu 57'!I51)/1000000</f>
        <v>3744.2809999999995</v>
      </c>
      <c r="E51" s="339">
        <f t="shared" si="6"/>
        <v>3744.2809999999995</v>
      </c>
      <c r="F51" s="340"/>
      <c r="G51" s="340"/>
      <c r="H51" s="340"/>
      <c r="I51" s="340"/>
      <c r="J51" s="340"/>
      <c r="K51" s="340"/>
      <c r="L51" s="340"/>
      <c r="M51" s="340"/>
      <c r="N51" s="340"/>
      <c r="O51" s="340"/>
      <c r="P51" s="340"/>
      <c r="Q51" s="340"/>
      <c r="R51" s="340"/>
      <c r="S51" s="340"/>
      <c r="T51" s="340"/>
    </row>
    <row r="52" spans="1:20" ht="12.75">
      <c r="A52" s="429">
        <v>32</v>
      </c>
      <c r="B52" s="430" t="s">
        <v>1192</v>
      </c>
      <c r="C52" s="470">
        <f>('[4]Bieu 57'!D52)/1000000</f>
        <v>7758.061</v>
      </c>
      <c r="D52" s="470">
        <f>('[4]Bieu 57'!I52)/1000000</f>
        <v>7758.060999999998</v>
      </c>
      <c r="E52" s="339">
        <f t="shared" si="6"/>
        <v>7758.060999999998</v>
      </c>
      <c r="F52" s="340"/>
      <c r="G52" s="340"/>
      <c r="H52" s="340"/>
      <c r="I52" s="340"/>
      <c r="J52" s="340"/>
      <c r="K52" s="340"/>
      <c r="L52" s="340"/>
      <c r="M52" s="340"/>
      <c r="N52" s="340"/>
      <c r="O52" s="340"/>
      <c r="P52" s="340"/>
      <c r="Q52" s="340"/>
      <c r="R52" s="340"/>
      <c r="S52" s="340"/>
      <c r="T52" s="340"/>
    </row>
    <row r="53" spans="1:20" ht="12.75">
      <c r="A53" s="423">
        <v>33</v>
      </c>
      <c r="B53" s="430" t="s">
        <v>1193</v>
      </c>
      <c r="C53" s="470">
        <f>('[4]Bieu 57'!D53)/1000000</f>
        <v>9346.328999999998</v>
      </c>
      <c r="D53" s="470">
        <f>('[4]Bieu 57'!I53)/1000000</f>
        <v>9346.328999999998</v>
      </c>
      <c r="E53" s="339">
        <f t="shared" si="6"/>
        <v>9346.328999999998</v>
      </c>
      <c r="F53" s="340"/>
      <c r="G53" s="340"/>
      <c r="H53" s="340"/>
      <c r="I53" s="340"/>
      <c r="J53" s="340"/>
      <c r="K53" s="340"/>
      <c r="L53" s="340"/>
      <c r="M53" s="340"/>
      <c r="N53" s="340"/>
      <c r="O53" s="340"/>
      <c r="P53" s="340"/>
      <c r="Q53" s="340"/>
      <c r="R53" s="340"/>
      <c r="S53" s="340"/>
      <c r="T53" s="340"/>
    </row>
    <row r="54" spans="1:20" ht="12.75">
      <c r="A54" s="429">
        <v>34</v>
      </c>
      <c r="B54" s="430" t="s">
        <v>1194</v>
      </c>
      <c r="C54" s="470">
        <f>('[4]Bieu 57'!D54)/1000000</f>
        <v>7314.472000000001</v>
      </c>
      <c r="D54" s="470">
        <f>('[4]Bieu 57'!I54)/1000000</f>
        <v>7314.472000000001</v>
      </c>
      <c r="E54" s="339">
        <f t="shared" si="6"/>
        <v>7314.472000000001</v>
      </c>
      <c r="F54" s="340"/>
      <c r="G54" s="340"/>
      <c r="H54" s="340"/>
      <c r="I54" s="340"/>
      <c r="J54" s="340"/>
      <c r="K54" s="340"/>
      <c r="L54" s="340"/>
      <c r="M54" s="340"/>
      <c r="N54" s="340"/>
      <c r="O54" s="340"/>
      <c r="P54" s="340"/>
      <c r="Q54" s="340"/>
      <c r="R54" s="340"/>
      <c r="S54" s="340"/>
      <c r="T54" s="340"/>
    </row>
    <row r="55" spans="1:20" ht="12.75">
      <c r="A55" s="423">
        <v>35</v>
      </c>
      <c r="B55" s="430" t="s">
        <v>1195</v>
      </c>
      <c r="C55" s="470">
        <f>('[4]Bieu 57'!D55)/1000000</f>
        <v>8523.243</v>
      </c>
      <c r="D55" s="470">
        <f>('[4]Bieu 57'!I55)/1000000</f>
        <v>8523.243</v>
      </c>
      <c r="E55" s="339">
        <f t="shared" si="6"/>
        <v>8523.243</v>
      </c>
      <c r="F55" s="340"/>
      <c r="G55" s="340"/>
      <c r="H55" s="340"/>
      <c r="I55" s="340"/>
      <c r="J55" s="340"/>
      <c r="K55" s="340"/>
      <c r="L55" s="340"/>
      <c r="M55" s="340"/>
      <c r="N55" s="340"/>
      <c r="O55" s="340"/>
      <c r="P55" s="340"/>
      <c r="Q55" s="340"/>
      <c r="R55" s="340"/>
      <c r="S55" s="340"/>
      <c r="T55" s="340"/>
    </row>
    <row r="56" spans="1:20" ht="12.75">
      <c r="A56" s="429">
        <v>36</v>
      </c>
      <c r="B56" s="431" t="s">
        <v>1196</v>
      </c>
      <c r="C56" s="470">
        <f>('[4]Bieu 57'!D56)/1000000</f>
        <v>3427.196</v>
      </c>
      <c r="D56" s="470">
        <f>('[4]Bieu 57'!I56)/1000000</f>
        <v>3427.196</v>
      </c>
      <c r="E56" s="339">
        <f t="shared" si="6"/>
        <v>3427.196</v>
      </c>
      <c r="F56" s="340"/>
      <c r="G56" s="340"/>
      <c r="H56" s="340"/>
      <c r="I56" s="340"/>
      <c r="J56" s="340"/>
      <c r="K56" s="340"/>
      <c r="L56" s="340"/>
      <c r="M56" s="340"/>
      <c r="N56" s="340"/>
      <c r="O56" s="340"/>
      <c r="P56" s="340"/>
      <c r="Q56" s="340"/>
      <c r="R56" s="340"/>
      <c r="S56" s="340"/>
      <c r="T56" s="340"/>
    </row>
    <row r="57" spans="1:20" ht="12.75">
      <c r="A57" s="423">
        <v>37</v>
      </c>
      <c r="B57" s="431" t="s">
        <v>1197</v>
      </c>
      <c r="C57" s="470">
        <f>('[4]Bieu 57'!D57)/1000000</f>
        <v>453.92</v>
      </c>
      <c r="D57" s="470">
        <f>('[4]Bieu 57'!I57)/1000000</f>
        <v>453.92</v>
      </c>
      <c r="E57" s="339">
        <f t="shared" si="6"/>
        <v>453.92</v>
      </c>
      <c r="F57" s="340"/>
      <c r="G57" s="340"/>
      <c r="H57" s="340"/>
      <c r="I57" s="340"/>
      <c r="J57" s="340"/>
      <c r="K57" s="340"/>
      <c r="L57" s="340"/>
      <c r="M57" s="340"/>
      <c r="N57" s="340"/>
      <c r="O57" s="340"/>
      <c r="P57" s="340"/>
      <c r="Q57" s="340"/>
      <c r="R57" s="340"/>
      <c r="S57" s="340"/>
      <c r="T57" s="340"/>
    </row>
    <row r="58" spans="1:20" ht="12.75">
      <c r="A58" s="429"/>
      <c r="B58" s="431"/>
      <c r="C58" s="472">
        <f>'[4]Bieu 57'!D58</f>
        <v>0</v>
      </c>
      <c r="D58" s="339">
        <f>'[4]Bieu 57'!I58</f>
        <v>0</v>
      </c>
      <c r="E58" s="339">
        <f t="shared" si="6"/>
        <v>0</v>
      </c>
      <c r="F58" s="340"/>
      <c r="G58" s="340"/>
      <c r="H58" s="340"/>
      <c r="I58" s="340"/>
      <c r="J58" s="340"/>
      <c r="K58" s="340"/>
      <c r="L58" s="340"/>
      <c r="M58" s="340"/>
      <c r="N58" s="340"/>
      <c r="O58" s="340"/>
      <c r="P58" s="340"/>
      <c r="Q58" s="340"/>
      <c r="R58" s="340"/>
      <c r="S58" s="340"/>
      <c r="T58" s="340"/>
    </row>
    <row r="59" spans="1:20" s="422" customFormat="1" ht="38.25">
      <c r="A59" s="432" t="s">
        <v>93</v>
      </c>
      <c r="B59" s="433" t="s">
        <v>1276</v>
      </c>
      <c r="C59" s="469">
        <f>SUM(C60:C84)</f>
        <v>9045.263</v>
      </c>
      <c r="D59" s="469">
        <f aca="true" t="shared" si="7" ref="D59:T59">SUM(D60:D84)</f>
        <v>9023.388</v>
      </c>
      <c r="E59" s="469">
        <f t="shared" si="7"/>
        <v>9023.388</v>
      </c>
      <c r="F59" s="469">
        <f t="shared" si="7"/>
        <v>0</v>
      </c>
      <c r="G59" s="469">
        <f t="shared" si="7"/>
        <v>0</v>
      </c>
      <c r="H59" s="469">
        <f t="shared" si="7"/>
        <v>0</v>
      </c>
      <c r="I59" s="469">
        <f t="shared" si="7"/>
        <v>0</v>
      </c>
      <c r="J59" s="469">
        <f t="shared" si="7"/>
        <v>0</v>
      </c>
      <c r="K59" s="469">
        <f t="shared" si="7"/>
        <v>0</v>
      </c>
      <c r="L59" s="469">
        <f t="shared" si="7"/>
        <v>0</v>
      </c>
      <c r="M59" s="469">
        <f t="shared" si="7"/>
        <v>0</v>
      </c>
      <c r="N59" s="469">
        <f t="shared" si="7"/>
        <v>0</v>
      </c>
      <c r="O59" s="469">
        <f t="shared" si="7"/>
        <v>0</v>
      </c>
      <c r="P59" s="469">
        <f t="shared" si="7"/>
        <v>0</v>
      </c>
      <c r="Q59" s="469">
        <f t="shared" si="7"/>
        <v>0</v>
      </c>
      <c r="R59" s="469">
        <f t="shared" si="7"/>
        <v>0</v>
      </c>
      <c r="S59" s="469">
        <f t="shared" si="7"/>
        <v>0</v>
      </c>
      <c r="T59" s="469">
        <f t="shared" si="7"/>
        <v>0</v>
      </c>
    </row>
    <row r="60" spans="1:20" ht="12.75">
      <c r="A60" s="429">
        <v>1</v>
      </c>
      <c r="B60" s="434" t="s">
        <v>1167</v>
      </c>
      <c r="C60" s="470">
        <f>('[4]Bieu 57'!D60)/1000000</f>
        <v>525.45</v>
      </c>
      <c r="D60" s="470">
        <f>('[4]Bieu 57'!I60)/1000000</f>
        <v>525.45</v>
      </c>
      <c r="E60" s="339">
        <f>D60</f>
        <v>525.45</v>
      </c>
      <c r="F60" s="340"/>
      <c r="G60" s="340"/>
      <c r="H60" s="340"/>
      <c r="I60" s="340"/>
      <c r="J60" s="340"/>
      <c r="K60" s="340"/>
      <c r="L60" s="340"/>
      <c r="M60" s="340"/>
      <c r="N60" s="340"/>
      <c r="O60" s="340"/>
      <c r="P60" s="340"/>
      <c r="Q60" s="340"/>
      <c r="R60" s="340"/>
      <c r="S60" s="340"/>
      <c r="T60" s="340"/>
    </row>
    <row r="61" spans="1:20" ht="12.75">
      <c r="A61" s="429">
        <v>2</v>
      </c>
      <c r="B61" s="434" t="s">
        <v>1168</v>
      </c>
      <c r="C61" s="470">
        <f>('[4]Bieu 57'!D61)/1000000</f>
        <v>13.425</v>
      </c>
      <c r="D61" s="470">
        <f>('[4]Bieu 57'!I61)/1000000</f>
        <v>13.425</v>
      </c>
      <c r="E61" s="339">
        <f aca="true" t="shared" si="8" ref="E61:E84">D61</f>
        <v>13.425</v>
      </c>
      <c r="F61" s="340"/>
      <c r="G61" s="340"/>
      <c r="H61" s="340"/>
      <c r="I61" s="340"/>
      <c r="J61" s="340"/>
      <c r="K61" s="340"/>
      <c r="L61" s="340"/>
      <c r="M61" s="340"/>
      <c r="N61" s="340"/>
      <c r="O61" s="340"/>
      <c r="P61" s="340"/>
      <c r="Q61" s="340"/>
      <c r="R61" s="340"/>
      <c r="S61" s="340"/>
      <c r="T61" s="340"/>
    </row>
    <row r="62" spans="1:20" ht="12.75">
      <c r="A62" s="429">
        <v>3</v>
      </c>
      <c r="B62" s="434" t="s">
        <v>1169</v>
      </c>
      <c r="C62" s="470">
        <f>('[4]Bieu 57'!D62)/1000000</f>
        <v>13.065</v>
      </c>
      <c r="D62" s="470">
        <f>('[4]Bieu 57'!I62)/1000000</f>
        <v>13.065</v>
      </c>
      <c r="E62" s="339">
        <f t="shared" si="8"/>
        <v>13.065</v>
      </c>
      <c r="F62" s="340"/>
      <c r="G62" s="340"/>
      <c r="H62" s="340"/>
      <c r="I62" s="340"/>
      <c r="J62" s="340"/>
      <c r="K62" s="340"/>
      <c r="L62" s="340"/>
      <c r="M62" s="340"/>
      <c r="N62" s="340"/>
      <c r="O62" s="340"/>
      <c r="P62" s="340"/>
      <c r="Q62" s="340"/>
      <c r="R62" s="340"/>
      <c r="S62" s="340"/>
      <c r="T62" s="340"/>
    </row>
    <row r="63" spans="1:20" ht="12.75">
      <c r="A63" s="429">
        <v>4</v>
      </c>
      <c r="B63" s="434" t="s">
        <v>1170</v>
      </c>
      <c r="C63" s="470">
        <f>('[4]Bieu 57'!D63)/1000000</f>
        <v>14.275</v>
      </c>
      <c r="D63" s="470">
        <f>('[4]Bieu 57'!I63)/1000000</f>
        <v>14.275</v>
      </c>
      <c r="E63" s="339">
        <f t="shared" si="8"/>
        <v>14.275</v>
      </c>
      <c r="F63" s="340"/>
      <c r="G63" s="340"/>
      <c r="H63" s="340"/>
      <c r="I63" s="340"/>
      <c r="J63" s="340"/>
      <c r="K63" s="340"/>
      <c r="L63" s="340"/>
      <c r="M63" s="340"/>
      <c r="N63" s="340"/>
      <c r="O63" s="340"/>
      <c r="P63" s="340"/>
      <c r="Q63" s="340"/>
      <c r="R63" s="340"/>
      <c r="S63" s="340"/>
      <c r="T63" s="340"/>
    </row>
    <row r="64" spans="1:20" ht="12.75">
      <c r="A64" s="429">
        <v>5</v>
      </c>
      <c r="B64" s="434" t="s">
        <v>1171</v>
      </c>
      <c r="C64" s="470">
        <f>('[4]Bieu 57'!D64)/1000000</f>
        <v>5.625</v>
      </c>
      <c r="D64" s="470">
        <f>('[4]Bieu 57'!I64)/1000000</f>
        <v>5.625</v>
      </c>
      <c r="E64" s="339">
        <f t="shared" si="8"/>
        <v>5.625</v>
      </c>
      <c r="F64" s="340"/>
      <c r="G64" s="340"/>
      <c r="H64" s="340"/>
      <c r="I64" s="340"/>
      <c r="J64" s="340"/>
      <c r="K64" s="340"/>
      <c r="L64" s="340"/>
      <c r="M64" s="340"/>
      <c r="N64" s="340"/>
      <c r="O64" s="340"/>
      <c r="P64" s="340"/>
      <c r="Q64" s="340"/>
      <c r="R64" s="340"/>
      <c r="S64" s="340"/>
      <c r="T64" s="340"/>
    </row>
    <row r="65" spans="1:20" ht="12.75">
      <c r="A65" s="429">
        <v>6</v>
      </c>
      <c r="B65" s="434" t="s">
        <v>1172</v>
      </c>
      <c r="C65" s="470">
        <f>('[4]Bieu 57'!D65)/1000000</f>
        <v>2.6</v>
      </c>
      <c r="D65" s="470">
        <f>('[4]Bieu 57'!I65)/1000000</f>
        <v>2.6</v>
      </c>
      <c r="E65" s="339">
        <f t="shared" si="8"/>
        <v>2.6</v>
      </c>
      <c r="F65" s="340"/>
      <c r="G65" s="340"/>
      <c r="H65" s="340"/>
      <c r="I65" s="340"/>
      <c r="J65" s="340"/>
      <c r="K65" s="340"/>
      <c r="L65" s="340"/>
      <c r="M65" s="340"/>
      <c r="N65" s="340"/>
      <c r="O65" s="340"/>
      <c r="P65" s="340"/>
      <c r="Q65" s="340"/>
      <c r="R65" s="340"/>
      <c r="S65" s="340"/>
      <c r="T65" s="340"/>
    </row>
    <row r="66" spans="1:20" ht="12.75">
      <c r="A66" s="429">
        <v>7</v>
      </c>
      <c r="B66" s="434" t="s">
        <v>1173</v>
      </c>
      <c r="C66" s="470">
        <f>('[4]Bieu 57'!D66)/1000000</f>
        <v>20.8</v>
      </c>
      <c r="D66" s="470">
        <f>('[4]Bieu 57'!I66)/1000000</f>
        <v>20.8</v>
      </c>
      <c r="E66" s="339">
        <f t="shared" si="8"/>
        <v>20.8</v>
      </c>
      <c r="F66" s="340"/>
      <c r="G66" s="340"/>
      <c r="H66" s="340"/>
      <c r="I66" s="340"/>
      <c r="J66" s="340"/>
      <c r="K66" s="340"/>
      <c r="L66" s="340"/>
      <c r="M66" s="340"/>
      <c r="N66" s="340"/>
      <c r="O66" s="340"/>
      <c r="P66" s="340"/>
      <c r="Q66" s="340"/>
      <c r="R66" s="340"/>
      <c r="S66" s="340"/>
      <c r="T66" s="340"/>
    </row>
    <row r="67" spans="1:20" ht="12.75">
      <c r="A67" s="429">
        <v>8</v>
      </c>
      <c r="B67" s="434" t="s">
        <v>1174</v>
      </c>
      <c r="C67" s="470">
        <f>('[4]Bieu 57'!D67)/1000000</f>
        <v>11.25</v>
      </c>
      <c r="D67" s="470">
        <f>('[4]Bieu 57'!I67)/1000000</f>
        <v>11.25</v>
      </c>
      <c r="E67" s="339">
        <f t="shared" si="8"/>
        <v>11.25</v>
      </c>
      <c r="F67" s="340"/>
      <c r="G67" s="340"/>
      <c r="H67" s="340"/>
      <c r="I67" s="340"/>
      <c r="J67" s="340"/>
      <c r="K67" s="340"/>
      <c r="L67" s="340"/>
      <c r="M67" s="340"/>
      <c r="N67" s="340"/>
      <c r="O67" s="340"/>
      <c r="P67" s="340"/>
      <c r="Q67" s="340"/>
      <c r="R67" s="340"/>
      <c r="S67" s="340"/>
      <c r="T67" s="340"/>
    </row>
    <row r="68" spans="1:20" ht="12.75">
      <c r="A68" s="429">
        <v>9</v>
      </c>
      <c r="B68" s="434" t="s">
        <v>1175</v>
      </c>
      <c r="C68" s="470">
        <f>('[4]Bieu 57'!D68)/1000000</f>
        <v>2261.873</v>
      </c>
      <c r="D68" s="470">
        <f>('[4]Bieu 57'!I68)/1000000</f>
        <v>2243.023</v>
      </c>
      <c r="E68" s="339">
        <f t="shared" si="8"/>
        <v>2243.023</v>
      </c>
      <c r="F68" s="340"/>
      <c r="G68" s="340"/>
      <c r="H68" s="340"/>
      <c r="I68" s="340"/>
      <c r="J68" s="340"/>
      <c r="K68" s="340"/>
      <c r="L68" s="340"/>
      <c r="M68" s="340"/>
      <c r="N68" s="340"/>
      <c r="O68" s="340"/>
      <c r="P68" s="340"/>
      <c r="Q68" s="340"/>
      <c r="R68" s="340"/>
      <c r="S68" s="340"/>
      <c r="T68" s="340"/>
    </row>
    <row r="69" spans="1:20" ht="12.75">
      <c r="A69" s="429">
        <v>10</v>
      </c>
      <c r="B69" s="434" t="s">
        <v>1176</v>
      </c>
      <c r="C69" s="470">
        <f>('[4]Bieu 57'!D69)/1000000</f>
        <v>16.45</v>
      </c>
      <c r="D69" s="470">
        <f>('[4]Bieu 57'!I69)/1000000</f>
        <v>16.45</v>
      </c>
      <c r="E69" s="339">
        <f t="shared" si="8"/>
        <v>16.45</v>
      </c>
      <c r="F69" s="340"/>
      <c r="G69" s="340"/>
      <c r="H69" s="340"/>
      <c r="I69" s="340"/>
      <c r="J69" s="340"/>
      <c r="K69" s="340"/>
      <c r="L69" s="340"/>
      <c r="M69" s="340"/>
      <c r="N69" s="340"/>
      <c r="O69" s="340"/>
      <c r="P69" s="340"/>
      <c r="Q69" s="340"/>
      <c r="R69" s="340"/>
      <c r="S69" s="340"/>
      <c r="T69" s="340"/>
    </row>
    <row r="70" spans="1:20" ht="12.75">
      <c r="A70" s="429">
        <v>11</v>
      </c>
      <c r="B70" s="434" t="s">
        <v>1177</v>
      </c>
      <c r="C70" s="470">
        <f>('[4]Bieu 57'!D70)/1000000</f>
        <v>246.122</v>
      </c>
      <c r="D70" s="470">
        <f>('[4]Bieu 57'!I70)/1000000</f>
        <v>246.122</v>
      </c>
      <c r="E70" s="339">
        <f t="shared" si="8"/>
        <v>246.122</v>
      </c>
      <c r="F70" s="340"/>
      <c r="G70" s="340"/>
      <c r="H70" s="340"/>
      <c r="I70" s="340"/>
      <c r="J70" s="340"/>
      <c r="K70" s="340"/>
      <c r="L70" s="340"/>
      <c r="M70" s="340"/>
      <c r="N70" s="340"/>
      <c r="O70" s="340"/>
      <c r="P70" s="340"/>
      <c r="Q70" s="340"/>
      <c r="R70" s="340"/>
      <c r="S70" s="340"/>
      <c r="T70" s="340"/>
    </row>
    <row r="71" spans="1:20" ht="12.75">
      <c r="A71" s="429">
        <v>12</v>
      </c>
      <c r="B71" s="434" t="s">
        <v>1178</v>
      </c>
      <c r="C71" s="470">
        <f>('[4]Bieu 57'!D71)/1000000</f>
        <v>42.825</v>
      </c>
      <c r="D71" s="470">
        <f>('[4]Bieu 57'!I71)/1000000</f>
        <v>42.825</v>
      </c>
      <c r="E71" s="339">
        <f t="shared" si="8"/>
        <v>42.825</v>
      </c>
      <c r="F71" s="340"/>
      <c r="G71" s="340"/>
      <c r="H71" s="340"/>
      <c r="I71" s="340"/>
      <c r="J71" s="340"/>
      <c r="K71" s="340"/>
      <c r="L71" s="340"/>
      <c r="M71" s="340"/>
      <c r="N71" s="340"/>
      <c r="O71" s="340"/>
      <c r="P71" s="340"/>
      <c r="Q71" s="340"/>
      <c r="R71" s="340"/>
      <c r="S71" s="340"/>
      <c r="T71" s="340"/>
    </row>
    <row r="72" spans="1:20" ht="12.75">
      <c r="A72" s="429">
        <v>13</v>
      </c>
      <c r="B72" s="434" t="s">
        <v>1179</v>
      </c>
      <c r="C72" s="470">
        <f>('[4]Bieu 57'!D72)/1000000</f>
        <v>106.975</v>
      </c>
      <c r="D72" s="470">
        <f>('[4]Bieu 57'!I72)/1000000</f>
        <v>106.975</v>
      </c>
      <c r="E72" s="339">
        <f t="shared" si="8"/>
        <v>106.975</v>
      </c>
      <c r="F72" s="340"/>
      <c r="G72" s="340"/>
      <c r="H72" s="340"/>
      <c r="I72" s="340"/>
      <c r="J72" s="340"/>
      <c r="K72" s="340"/>
      <c r="L72" s="340"/>
      <c r="M72" s="340"/>
      <c r="N72" s="340"/>
      <c r="O72" s="340"/>
      <c r="P72" s="340"/>
      <c r="Q72" s="340"/>
      <c r="R72" s="340"/>
      <c r="S72" s="340"/>
      <c r="T72" s="340"/>
    </row>
    <row r="73" spans="1:20" ht="12.75">
      <c r="A73" s="429">
        <v>14</v>
      </c>
      <c r="B73" s="434" t="s">
        <v>1180</v>
      </c>
      <c r="C73" s="470">
        <f>('[4]Bieu 57'!D73)/1000000</f>
        <v>1019.889</v>
      </c>
      <c r="D73" s="470">
        <f>('[4]Bieu 57'!I73)/1000000</f>
        <v>1019.889</v>
      </c>
      <c r="E73" s="339">
        <f t="shared" si="8"/>
        <v>1019.889</v>
      </c>
      <c r="F73" s="340"/>
      <c r="G73" s="340"/>
      <c r="H73" s="340"/>
      <c r="I73" s="340"/>
      <c r="J73" s="340"/>
      <c r="K73" s="340"/>
      <c r="L73" s="340"/>
      <c r="M73" s="340"/>
      <c r="N73" s="340"/>
      <c r="O73" s="340"/>
      <c r="P73" s="340"/>
      <c r="Q73" s="340"/>
      <c r="R73" s="340"/>
      <c r="S73" s="340"/>
      <c r="T73" s="340"/>
    </row>
    <row r="74" spans="1:20" ht="12.75">
      <c r="A74" s="429">
        <v>15</v>
      </c>
      <c r="B74" s="434" t="s">
        <v>1182</v>
      </c>
      <c r="C74" s="470">
        <f>('[4]Bieu 57'!D74)/1000000</f>
        <v>28.6</v>
      </c>
      <c r="D74" s="470">
        <f>('[4]Bieu 57'!I74)/1000000</f>
        <v>28.6</v>
      </c>
      <c r="E74" s="339">
        <f t="shared" si="8"/>
        <v>28.6</v>
      </c>
      <c r="F74" s="340"/>
      <c r="G74" s="340"/>
      <c r="H74" s="340"/>
      <c r="I74" s="340"/>
      <c r="J74" s="340"/>
      <c r="K74" s="340"/>
      <c r="L74" s="340"/>
      <c r="M74" s="340"/>
      <c r="N74" s="340"/>
      <c r="O74" s="340"/>
      <c r="P74" s="340"/>
      <c r="Q74" s="340"/>
      <c r="R74" s="340"/>
      <c r="S74" s="340"/>
      <c r="T74" s="340"/>
    </row>
    <row r="75" spans="1:20" ht="12.75">
      <c r="A75" s="429">
        <v>16</v>
      </c>
      <c r="B75" s="434" t="s">
        <v>1184</v>
      </c>
      <c r="C75" s="470">
        <f>('[4]Bieu 57'!D75)/1000000</f>
        <v>11.25</v>
      </c>
      <c r="D75" s="470">
        <f>('[4]Bieu 57'!I75)/1000000</f>
        <v>11.25</v>
      </c>
      <c r="E75" s="339">
        <f t="shared" si="8"/>
        <v>11.25</v>
      </c>
      <c r="F75" s="340"/>
      <c r="G75" s="340"/>
      <c r="H75" s="340"/>
      <c r="I75" s="340"/>
      <c r="J75" s="340"/>
      <c r="K75" s="340"/>
      <c r="L75" s="340"/>
      <c r="M75" s="340"/>
      <c r="N75" s="340"/>
      <c r="O75" s="340"/>
      <c r="P75" s="340"/>
      <c r="Q75" s="340"/>
      <c r="R75" s="340"/>
      <c r="S75" s="340"/>
      <c r="T75" s="340"/>
    </row>
    <row r="76" spans="1:20" ht="12.75">
      <c r="A76" s="429">
        <v>17</v>
      </c>
      <c r="B76" s="434" t="s">
        <v>1186</v>
      </c>
      <c r="C76" s="470">
        <f>('[4]Bieu 57'!D76)/1000000</f>
        <v>53.225</v>
      </c>
      <c r="D76" s="470">
        <f>('[4]Bieu 57'!I76)/1000000</f>
        <v>53.225</v>
      </c>
      <c r="E76" s="339">
        <f t="shared" si="8"/>
        <v>53.225</v>
      </c>
      <c r="F76" s="340"/>
      <c r="G76" s="340"/>
      <c r="H76" s="340"/>
      <c r="I76" s="340"/>
      <c r="J76" s="340"/>
      <c r="K76" s="340"/>
      <c r="L76" s="340"/>
      <c r="M76" s="340"/>
      <c r="N76" s="340"/>
      <c r="O76" s="340"/>
      <c r="P76" s="340"/>
      <c r="Q76" s="340"/>
      <c r="R76" s="340"/>
      <c r="S76" s="340"/>
      <c r="T76" s="340"/>
    </row>
    <row r="77" spans="1:20" ht="12.75">
      <c r="A77" s="429">
        <v>18</v>
      </c>
      <c r="B77" s="434" t="s">
        <v>1188</v>
      </c>
      <c r="C77" s="470">
        <f>('[4]Bieu 57'!D77)/1000000</f>
        <v>106.025</v>
      </c>
      <c r="D77" s="470">
        <f>('[4]Bieu 57'!I77)/1000000</f>
        <v>106.025</v>
      </c>
      <c r="E77" s="339">
        <f t="shared" si="8"/>
        <v>106.025</v>
      </c>
      <c r="F77" s="340"/>
      <c r="G77" s="340"/>
      <c r="H77" s="340"/>
      <c r="I77" s="340"/>
      <c r="J77" s="340"/>
      <c r="K77" s="340"/>
      <c r="L77" s="340"/>
      <c r="M77" s="340"/>
      <c r="N77" s="340"/>
      <c r="O77" s="340"/>
      <c r="P77" s="340"/>
      <c r="Q77" s="340"/>
      <c r="R77" s="340"/>
      <c r="S77" s="340"/>
      <c r="T77" s="340"/>
    </row>
    <row r="78" spans="1:20" ht="12.75">
      <c r="A78" s="429">
        <v>19</v>
      </c>
      <c r="B78" s="434" t="s">
        <v>1189</v>
      </c>
      <c r="C78" s="470">
        <f>('[4]Bieu 57'!D78)/1000000</f>
        <v>4386.448</v>
      </c>
      <c r="D78" s="470">
        <f>('[4]Bieu 57'!I78)/1000000</f>
        <v>4386.448</v>
      </c>
      <c r="E78" s="339">
        <f t="shared" si="8"/>
        <v>4386.448</v>
      </c>
      <c r="F78" s="340"/>
      <c r="G78" s="340"/>
      <c r="H78" s="340"/>
      <c r="I78" s="340"/>
      <c r="J78" s="340"/>
      <c r="K78" s="340"/>
      <c r="L78" s="340"/>
      <c r="M78" s="340"/>
      <c r="N78" s="340"/>
      <c r="O78" s="340"/>
      <c r="P78" s="340"/>
      <c r="Q78" s="340"/>
      <c r="R78" s="340"/>
      <c r="S78" s="340"/>
      <c r="T78" s="340"/>
    </row>
    <row r="79" spans="1:20" ht="12.75">
      <c r="A79" s="429">
        <v>20</v>
      </c>
      <c r="B79" s="434" t="s">
        <v>1191</v>
      </c>
      <c r="C79" s="470">
        <f>('[4]Bieu 57'!D79)/1000000</f>
        <v>21.175</v>
      </c>
      <c r="D79" s="470">
        <f>('[4]Bieu 57'!I79)/1000000</f>
        <v>21.175</v>
      </c>
      <c r="E79" s="339">
        <f t="shared" si="8"/>
        <v>21.175</v>
      </c>
      <c r="F79" s="340"/>
      <c r="G79" s="340"/>
      <c r="H79" s="340"/>
      <c r="I79" s="340"/>
      <c r="J79" s="340"/>
      <c r="K79" s="340"/>
      <c r="L79" s="340"/>
      <c r="M79" s="340"/>
      <c r="N79" s="340"/>
      <c r="O79" s="340"/>
      <c r="P79" s="340"/>
      <c r="Q79" s="340"/>
      <c r="R79" s="340"/>
      <c r="S79" s="340"/>
      <c r="T79" s="340"/>
    </row>
    <row r="80" spans="1:20" ht="12.75">
      <c r="A80" s="429">
        <v>21</v>
      </c>
      <c r="B80" s="434" t="s">
        <v>1193</v>
      </c>
      <c r="C80" s="470">
        <f>('[4]Bieu 57'!D80)/1000000</f>
        <v>53.966</v>
      </c>
      <c r="D80" s="470">
        <f>('[4]Bieu 57'!I80)/1000000</f>
        <v>53.966</v>
      </c>
      <c r="E80" s="339">
        <f t="shared" si="8"/>
        <v>53.966</v>
      </c>
      <c r="F80" s="340"/>
      <c r="G80" s="340"/>
      <c r="H80" s="340"/>
      <c r="I80" s="340"/>
      <c r="J80" s="340"/>
      <c r="K80" s="340"/>
      <c r="L80" s="340"/>
      <c r="M80" s="340"/>
      <c r="N80" s="340"/>
      <c r="O80" s="340"/>
      <c r="P80" s="340"/>
      <c r="Q80" s="340"/>
      <c r="R80" s="340"/>
      <c r="S80" s="340"/>
      <c r="T80" s="340"/>
    </row>
    <row r="81" spans="1:20" ht="12.75">
      <c r="A81" s="429">
        <v>22</v>
      </c>
      <c r="B81" s="434" t="s">
        <v>1194</v>
      </c>
      <c r="C81" s="470">
        <f>('[4]Bieu 57'!D81)/1000000</f>
        <v>50.625</v>
      </c>
      <c r="D81" s="470">
        <f>('[4]Bieu 57'!I81)/1000000</f>
        <v>47.6</v>
      </c>
      <c r="E81" s="339">
        <f t="shared" si="8"/>
        <v>47.6</v>
      </c>
      <c r="F81" s="340"/>
      <c r="G81" s="340"/>
      <c r="H81" s="340"/>
      <c r="I81" s="340"/>
      <c r="J81" s="340"/>
      <c r="K81" s="340"/>
      <c r="L81" s="340"/>
      <c r="M81" s="340"/>
      <c r="N81" s="340"/>
      <c r="O81" s="340"/>
      <c r="P81" s="340"/>
      <c r="Q81" s="340"/>
      <c r="R81" s="340"/>
      <c r="S81" s="340"/>
      <c r="T81" s="340"/>
    </row>
    <row r="82" spans="1:20" ht="12.75">
      <c r="A82" s="429">
        <v>23</v>
      </c>
      <c r="B82" s="434" t="s">
        <v>1195</v>
      </c>
      <c r="C82" s="470">
        <f>('[4]Bieu 57'!D82)/1000000</f>
        <v>33.325</v>
      </c>
      <c r="D82" s="470">
        <f>('[4]Bieu 57'!I82)/1000000</f>
        <v>33.325</v>
      </c>
      <c r="E82" s="339">
        <f t="shared" si="8"/>
        <v>33.325</v>
      </c>
      <c r="F82" s="340"/>
      <c r="G82" s="340"/>
      <c r="H82" s="340"/>
      <c r="I82" s="340"/>
      <c r="J82" s="340"/>
      <c r="K82" s="340"/>
      <c r="L82" s="340"/>
      <c r="M82" s="340"/>
      <c r="N82" s="340"/>
      <c r="O82" s="340"/>
      <c r="P82" s="340"/>
      <c r="Q82" s="340"/>
      <c r="R82" s="340"/>
      <c r="S82" s="340"/>
      <c r="T82" s="340"/>
    </row>
    <row r="83" spans="1:20" ht="12.75">
      <c r="A83" s="429">
        <v>24</v>
      </c>
      <c r="B83" s="431" t="s">
        <v>1181</v>
      </c>
      <c r="C83" s="472">
        <f>'[4]Bieu 57'!D83</f>
        <v>0</v>
      </c>
      <c r="D83" s="470">
        <f>('[4]Bieu 57'!I83)/1000000</f>
        <v>0</v>
      </c>
      <c r="E83" s="339">
        <f t="shared" si="8"/>
        <v>0</v>
      </c>
      <c r="F83" s="340"/>
      <c r="G83" s="340"/>
      <c r="H83" s="340"/>
      <c r="I83" s="340"/>
      <c r="J83" s="340"/>
      <c r="K83" s="340"/>
      <c r="L83" s="340"/>
      <c r="M83" s="340"/>
      <c r="N83" s="340"/>
      <c r="O83" s="340"/>
      <c r="P83" s="340"/>
      <c r="Q83" s="340"/>
      <c r="R83" s="340"/>
      <c r="S83" s="340"/>
      <c r="T83" s="340"/>
    </row>
    <row r="84" spans="1:20" ht="12.75">
      <c r="A84" s="429"/>
      <c r="B84" s="431"/>
      <c r="C84" s="472">
        <f>'[4]Bieu 57'!D84</f>
        <v>0</v>
      </c>
      <c r="D84" s="470">
        <f>('[4]Bieu 57'!I84)/1000000</f>
        <v>0</v>
      </c>
      <c r="E84" s="339">
        <f t="shared" si="8"/>
        <v>0</v>
      </c>
      <c r="F84" s="340"/>
      <c r="G84" s="340"/>
      <c r="H84" s="340"/>
      <c r="I84" s="340"/>
      <c r="J84" s="340"/>
      <c r="K84" s="340"/>
      <c r="L84" s="340"/>
      <c r="M84" s="340"/>
      <c r="N84" s="340"/>
      <c r="O84" s="340"/>
      <c r="P84" s="340"/>
      <c r="Q84" s="340"/>
      <c r="R84" s="340"/>
      <c r="S84" s="340"/>
      <c r="T84" s="340"/>
    </row>
    <row r="85" spans="1:20" s="422" customFormat="1" ht="38.25">
      <c r="A85" s="435" t="s">
        <v>1277</v>
      </c>
      <c r="B85" s="433" t="s">
        <v>1278</v>
      </c>
      <c r="C85" s="469">
        <f>SUM(C86:C116)</f>
        <v>5486.6669999999995</v>
      </c>
      <c r="D85" s="469">
        <f>SUM(D86:D116)</f>
        <v>5478.387000000001</v>
      </c>
      <c r="E85" s="469">
        <f aca="true" t="shared" si="9" ref="E85:T85">SUM(E86:E116)</f>
        <v>5478.387000000001</v>
      </c>
      <c r="F85" s="469">
        <f t="shared" si="9"/>
        <v>0</v>
      </c>
      <c r="G85" s="469">
        <f t="shared" si="9"/>
        <v>0</v>
      </c>
      <c r="H85" s="469">
        <f t="shared" si="9"/>
        <v>0</v>
      </c>
      <c r="I85" s="469">
        <f t="shared" si="9"/>
        <v>0</v>
      </c>
      <c r="J85" s="469">
        <f t="shared" si="9"/>
        <v>0</v>
      </c>
      <c r="K85" s="469">
        <f t="shared" si="9"/>
        <v>0</v>
      </c>
      <c r="L85" s="469">
        <f t="shared" si="9"/>
        <v>0</v>
      </c>
      <c r="M85" s="469">
        <f t="shared" si="9"/>
        <v>0</v>
      </c>
      <c r="N85" s="469">
        <f t="shared" si="9"/>
        <v>0</v>
      </c>
      <c r="O85" s="469">
        <f t="shared" si="9"/>
        <v>0</v>
      </c>
      <c r="P85" s="469">
        <f t="shared" si="9"/>
        <v>0</v>
      </c>
      <c r="Q85" s="469">
        <f t="shared" si="9"/>
        <v>0</v>
      </c>
      <c r="R85" s="469">
        <f t="shared" si="9"/>
        <v>0</v>
      </c>
      <c r="S85" s="469">
        <f t="shared" si="9"/>
        <v>0</v>
      </c>
      <c r="T85" s="469">
        <f t="shared" si="9"/>
        <v>0</v>
      </c>
    </row>
    <row r="86" spans="1:20" ht="12.75">
      <c r="A86" s="429">
        <v>1</v>
      </c>
      <c r="B86" s="436" t="s">
        <v>1167</v>
      </c>
      <c r="C86" s="470">
        <f>('[4]Bieu 57'!D86)/1000000</f>
        <v>338.986</v>
      </c>
      <c r="D86" s="470">
        <f>('[4]Bieu 57'!I86)/1000000</f>
        <v>338.986</v>
      </c>
      <c r="E86" s="339">
        <f>D86</f>
        <v>338.986</v>
      </c>
      <c r="F86" s="340"/>
      <c r="G86" s="340"/>
      <c r="H86" s="340"/>
      <c r="I86" s="340"/>
      <c r="J86" s="340"/>
      <c r="K86" s="340"/>
      <c r="L86" s="340"/>
      <c r="M86" s="340"/>
      <c r="N86" s="340"/>
      <c r="O86" s="340"/>
      <c r="P86" s="340"/>
      <c r="Q86" s="340"/>
      <c r="R86" s="340"/>
      <c r="S86" s="340"/>
      <c r="T86" s="340"/>
    </row>
    <row r="87" spans="1:20" ht="12.75">
      <c r="A87" s="429">
        <v>2</v>
      </c>
      <c r="B87" s="436" t="s">
        <v>1168</v>
      </c>
      <c r="C87" s="470">
        <f>('[4]Bieu 57'!D87)/1000000</f>
        <v>63.985</v>
      </c>
      <c r="D87" s="470">
        <f>('[4]Bieu 57'!I87)/1000000</f>
        <v>63.985</v>
      </c>
      <c r="E87" s="339">
        <f aca="true" t="shared" si="10" ref="E87:E116">D87</f>
        <v>63.985</v>
      </c>
      <c r="F87" s="340"/>
      <c r="G87" s="340"/>
      <c r="H87" s="340"/>
      <c r="I87" s="340"/>
      <c r="J87" s="340"/>
      <c r="K87" s="340"/>
      <c r="L87" s="340"/>
      <c r="M87" s="340"/>
      <c r="N87" s="340"/>
      <c r="O87" s="340"/>
      <c r="P87" s="340"/>
      <c r="Q87" s="340"/>
      <c r="R87" s="340"/>
      <c r="S87" s="340"/>
      <c r="T87" s="340"/>
    </row>
    <row r="88" spans="1:20" ht="12.75">
      <c r="A88" s="429">
        <v>3</v>
      </c>
      <c r="B88" s="436" t="s">
        <v>1169</v>
      </c>
      <c r="C88" s="470">
        <f>('[4]Bieu 57'!D88)/1000000</f>
        <v>211.52</v>
      </c>
      <c r="D88" s="470">
        <f>('[4]Bieu 57'!I88)/1000000</f>
        <v>211.52</v>
      </c>
      <c r="E88" s="339">
        <f t="shared" si="10"/>
        <v>211.52</v>
      </c>
      <c r="F88" s="340"/>
      <c r="G88" s="340"/>
      <c r="H88" s="340"/>
      <c r="I88" s="340"/>
      <c r="J88" s="340"/>
      <c r="K88" s="340"/>
      <c r="L88" s="340"/>
      <c r="M88" s="340"/>
      <c r="N88" s="340"/>
      <c r="O88" s="340"/>
      <c r="P88" s="340"/>
      <c r="Q88" s="340"/>
      <c r="R88" s="340"/>
      <c r="S88" s="340"/>
      <c r="T88" s="340"/>
    </row>
    <row r="89" spans="1:20" ht="12.75">
      <c r="A89" s="429">
        <v>4</v>
      </c>
      <c r="B89" s="436" t="s">
        <v>1170</v>
      </c>
      <c r="C89" s="470">
        <f>('[4]Bieu 57'!D89)/1000000</f>
        <v>122.355</v>
      </c>
      <c r="D89" s="470">
        <f>('[4]Bieu 57'!I89)/1000000</f>
        <v>115.955</v>
      </c>
      <c r="E89" s="339">
        <f t="shared" si="10"/>
        <v>115.955</v>
      </c>
      <c r="F89" s="340"/>
      <c r="G89" s="340"/>
      <c r="H89" s="340"/>
      <c r="I89" s="340"/>
      <c r="J89" s="340"/>
      <c r="K89" s="340"/>
      <c r="L89" s="340"/>
      <c r="M89" s="340"/>
      <c r="N89" s="340"/>
      <c r="O89" s="340"/>
      <c r="P89" s="340"/>
      <c r="Q89" s="340"/>
      <c r="R89" s="340"/>
      <c r="S89" s="340"/>
      <c r="T89" s="340"/>
    </row>
    <row r="90" spans="1:20" ht="12.75">
      <c r="A90" s="429">
        <v>5</v>
      </c>
      <c r="B90" s="436" t="s">
        <v>1171</v>
      </c>
      <c r="C90" s="470">
        <f>('[4]Bieu 57'!D90)/1000000</f>
        <v>229.56</v>
      </c>
      <c r="D90" s="470">
        <f>('[4]Bieu 57'!I90)/1000000</f>
        <v>229.56</v>
      </c>
      <c r="E90" s="339">
        <f t="shared" si="10"/>
        <v>229.56</v>
      </c>
      <c r="F90" s="340"/>
      <c r="G90" s="340"/>
      <c r="H90" s="340"/>
      <c r="I90" s="340"/>
      <c r="J90" s="340"/>
      <c r="K90" s="340"/>
      <c r="L90" s="340"/>
      <c r="M90" s="340"/>
      <c r="N90" s="340"/>
      <c r="O90" s="340"/>
      <c r="P90" s="340"/>
      <c r="Q90" s="340"/>
      <c r="R90" s="340"/>
      <c r="S90" s="340"/>
      <c r="T90" s="340"/>
    </row>
    <row r="91" spans="1:20" ht="12.75">
      <c r="A91" s="429">
        <v>6</v>
      </c>
      <c r="B91" s="436" t="s">
        <v>1172</v>
      </c>
      <c r="C91" s="470">
        <f>('[4]Bieu 57'!D91)/1000000</f>
        <v>53.44</v>
      </c>
      <c r="D91" s="470">
        <f>('[4]Bieu 57'!I91)/1000000</f>
        <v>53.44</v>
      </c>
      <c r="E91" s="339">
        <f t="shared" si="10"/>
        <v>53.44</v>
      </c>
      <c r="F91" s="340"/>
      <c r="G91" s="340"/>
      <c r="H91" s="340"/>
      <c r="I91" s="340"/>
      <c r="J91" s="340"/>
      <c r="K91" s="340"/>
      <c r="L91" s="340"/>
      <c r="M91" s="340"/>
      <c r="N91" s="340"/>
      <c r="O91" s="340"/>
      <c r="P91" s="340"/>
      <c r="Q91" s="340"/>
      <c r="R91" s="340"/>
      <c r="S91" s="340"/>
      <c r="T91" s="340"/>
    </row>
    <row r="92" spans="1:20" ht="12.75">
      <c r="A92" s="429">
        <v>7</v>
      </c>
      <c r="B92" s="436" t="s">
        <v>1173</v>
      </c>
      <c r="C92" s="470">
        <f>('[4]Bieu 57'!D92)/1000000</f>
        <v>62.885</v>
      </c>
      <c r="D92" s="470">
        <f>('[4]Bieu 57'!I92)/1000000</f>
        <v>62.885</v>
      </c>
      <c r="E92" s="339">
        <f t="shared" si="10"/>
        <v>62.885</v>
      </c>
      <c r="F92" s="340"/>
      <c r="G92" s="340"/>
      <c r="H92" s="340"/>
      <c r="I92" s="340"/>
      <c r="J92" s="340"/>
      <c r="K92" s="340"/>
      <c r="L92" s="340"/>
      <c r="M92" s="340"/>
      <c r="N92" s="340"/>
      <c r="O92" s="340"/>
      <c r="P92" s="340"/>
      <c r="Q92" s="340"/>
      <c r="R92" s="340"/>
      <c r="S92" s="340"/>
      <c r="T92" s="340"/>
    </row>
    <row r="93" spans="1:20" ht="12.75">
      <c r="A93" s="429">
        <v>8</v>
      </c>
      <c r="B93" s="436" t="s">
        <v>1174</v>
      </c>
      <c r="C93" s="470">
        <f>('[4]Bieu 57'!D93)/1000000</f>
        <v>86.175</v>
      </c>
      <c r="D93" s="470">
        <f>('[4]Bieu 57'!I93)/1000000</f>
        <v>86.175</v>
      </c>
      <c r="E93" s="339">
        <f t="shared" si="10"/>
        <v>86.175</v>
      </c>
      <c r="F93" s="340"/>
      <c r="G93" s="340"/>
      <c r="H93" s="340"/>
      <c r="I93" s="340"/>
      <c r="J93" s="340"/>
      <c r="K93" s="340"/>
      <c r="L93" s="340"/>
      <c r="M93" s="340"/>
      <c r="N93" s="340"/>
      <c r="O93" s="340"/>
      <c r="P93" s="340"/>
      <c r="Q93" s="340"/>
      <c r="R93" s="340"/>
      <c r="S93" s="340"/>
      <c r="T93" s="340"/>
    </row>
    <row r="94" spans="1:20" ht="12.75">
      <c r="A94" s="429">
        <v>9</v>
      </c>
      <c r="B94" s="436" t="s">
        <v>1175</v>
      </c>
      <c r="C94" s="470">
        <f>('[4]Bieu 57'!D94)/1000000</f>
        <v>546.944</v>
      </c>
      <c r="D94" s="470">
        <f>('[4]Bieu 57'!I94)/1000000</f>
        <v>545.344</v>
      </c>
      <c r="E94" s="339">
        <f t="shared" si="10"/>
        <v>545.344</v>
      </c>
      <c r="F94" s="340"/>
      <c r="G94" s="340"/>
      <c r="H94" s="340"/>
      <c r="I94" s="340"/>
      <c r="J94" s="340"/>
      <c r="K94" s="340"/>
      <c r="L94" s="340"/>
      <c r="M94" s="340"/>
      <c r="N94" s="340"/>
      <c r="O94" s="340"/>
      <c r="P94" s="340"/>
      <c r="Q94" s="340"/>
      <c r="R94" s="340"/>
      <c r="S94" s="340"/>
      <c r="T94" s="340"/>
    </row>
    <row r="95" spans="1:20" ht="12.75">
      <c r="A95" s="429">
        <v>10</v>
      </c>
      <c r="B95" s="436" t="s">
        <v>1176</v>
      </c>
      <c r="C95" s="470">
        <f>('[4]Bieu 57'!D95)/1000000</f>
        <v>167.48</v>
      </c>
      <c r="D95" s="470">
        <f>('[4]Bieu 57'!I95)/1000000</f>
        <v>167.48</v>
      </c>
      <c r="E95" s="339">
        <f t="shared" si="10"/>
        <v>167.48</v>
      </c>
      <c r="F95" s="340"/>
      <c r="G95" s="340"/>
      <c r="H95" s="340"/>
      <c r="I95" s="340"/>
      <c r="J95" s="340"/>
      <c r="K95" s="340"/>
      <c r="L95" s="340"/>
      <c r="M95" s="340"/>
      <c r="N95" s="340"/>
      <c r="O95" s="340"/>
      <c r="P95" s="340"/>
      <c r="Q95" s="340"/>
      <c r="R95" s="340"/>
      <c r="S95" s="340"/>
      <c r="T95" s="340"/>
    </row>
    <row r="96" spans="1:20" ht="12.75">
      <c r="A96" s="429">
        <v>11</v>
      </c>
      <c r="B96" s="436" t="s">
        <v>1177</v>
      </c>
      <c r="C96" s="470">
        <f>('[4]Bieu 57'!D96)/1000000</f>
        <v>333.06</v>
      </c>
      <c r="D96" s="470">
        <f>('[4]Bieu 57'!I96)/1000000</f>
        <v>333.06</v>
      </c>
      <c r="E96" s="339">
        <f t="shared" si="10"/>
        <v>333.06</v>
      </c>
      <c r="F96" s="340"/>
      <c r="G96" s="340"/>
      <c r="H96" s="340"/>
      <c r="I96" s="340"/>
      <c r="J96" s="340"/>
      <c r="K96" s="340"/>
      <c r="L96" s="340"/>
      <c r="M96" s="340"/>
      <c r="N96" s="340"/>
      <c r="O96" s="340"/>
      <c r="P96" s="340"/>
      <c r="Q96" s="340"/>
      <c r="R96" s="340"/>
      <c r="S96" s="340"/>
      <c r="T96" s="340"/>
    </row>
    <row r="97" spans="1:20" ht="12.75">
      <c r="A97" s="429">
        <v>12</v>
      </c>
      <c r="B97" s="436" t="s">
        <v>1178</v>
      </c>
      <c r="C97" s="470">
        <f>('[4]Bieu 57'!D97)/1000000</f>
        <v>212.04</v>
      </c>
      <c r="D97" s="470">
        <f>('[4]Bieu 57'!I97)/1000000</f>
        <v>211.76</v>
      </c>
      <c r="E97" s="339">
        <f t="shared" si="10"/>
        <v>211.76</v>
      </c>
      <c r="F97" s="340"/>
      <c r="G97" s="340"/>
      <c r="H97" s="340"/>
      <c r="I97" s="340"/>
      <c r="J97" s="340"/>
      <c r="K97" s="340"/>
      <c r="L97" s="340"/>
      <c r="M97" s="340"/>
      <c r="N97" s="340"/>
      <c r="O97" s="340"/>
      <c r="P97" s="340"/>
      <c r="Q97" s="340"/>
      <c r="R97" s="340"/>
      <c r="S97" s="340"/>
      <c r="T97" s="340"/>
    </row>
    <row r="98" spans="1:20" ht="12.75">
      <c r="A98" s="429">
        <v>13</v>
      </c>
      <c r="B98" s="436" t="s">
        <v>1179</v>
      </c>
      <c r="C98" s="470">
        <f>('[4]Bieu 57'!D98)/1000000</f>
        <v>166.03</v>
      </c>
      <c r="D98" s="470">
        <f>('[4]Bieu 57'!I98)/1000000</f>
        <v>166.03</v>
      </c>
      <c r="E98" s="339">
        <f t="shared" si="10"/>
        <v>166.03</v>
      </c>
      <c r="F98" s="340"/>
      <c r="G98" s="340"/>
      <c r="H98" s="340"/>
      <c r="I98" s="340"/>
      <c r="J98" s="340"/>
      <c r="K98" s="340"/>
      <c r="L98" s="340"/>
      <c r="M98" s="340"/>
      <c r="N98" s="340"/>
      <c r="O98" s="340"/>
      <c r="P98" s="340"/>
      <c r="Q98" s="340"/>
      <c r="R98" s="340"/>
      <c r="S98" s="340"/>
      <c r="T98" s="340"/>
    </row>
    <row r="99" spans="1:20" ht="12.75">
      <c r="A99" s="429">
        <v>14</v>
      </c>
      <c r="B99" s="436" t="s">
        <v>1180</v>
      </c>
      <c r="C99" s="470">
        <f>('[4]Bieu 57'!D99)/1000000</f>
        <v>250.754</v>
      </c>
      <c r="D99" s="470">
        <f>('[4]Bieu 57'!I99)/1000000</f>
        <v>250.754</v>
      </c>
      <c r="E99" s="339">
        <f t="shared" si="10"/>
        <v>250.754</v>
      </c>
      <c r="F99" s="340"/>
      <c r="G99" s="340"/>
      <c r="H99" s="340"/>
      <c r="I99" s="340"/>
      <c r="J99" s="340"/>
      <c r="K99" s="340"/>
      <c r="L99" s="340"/>
      <c r="M99" s="340"/>
      <c r="N99" s="340"/>
      <c r="O99" s="340"/>
      <c r="P99" s="340"/>
      <c r="Q99" s="340"/>
      <c r="R99" s="340"/>
      <c r="S99" s="340"/>
      <c r="T99" s="340"/>
    </row>
    <row r="100" spans="1:20" ht="12.75">
      <c r="A100" s="429">
        <v>15</v>
      </c>
      <c r="B100" s="436" t="s">
        <v>1181</v>
      </c>
      <c r="C100" s="470">
        <f>('[4]Bieu 57'!D100)/1000000</f>
        <v>47.614</v>
      </c>
      <c r="D100" s="470">
        <f>('[4]Bieu 57'!I100)/1000000</f>
        <v>47.614</v>
      </c>
      <c r="E100" s="339">
        <f t="shared" si="10"/>
        <v>47.614</v>
      </c>
      <c r="F100" s="340"/>
      <c r="G100" s="340"/>
      <c r="H100" s="340"/>
      <c r="I100" s="340"/>
      <c r="J100" s="340"/>
      <c r="K100" s="340"/>
      <c r="L100" s="340"/>
      <c r="M100" s="340"/>
      <c r="N100" s="340"/>
      <c r="O100" s="340"/>
      <c r="P100" s="340"/>
      <c r="Q100" s="340"/>
      <c r="R100" s="340"/>
      <c r="S100" s="340"/>
      <c r="T100" s="340"/>
    </row>
    <row r="101" spans="1:20" ht="12.75">
      <c r="A101" s="429">
        <v>16</v>
      </c>
      <c r="B101" s="436" t="s">
        <v>1182</v>
      </c>
      <c r="C101" s="470">
        <f>('[4]Bieu 57'!D101)/1000000</f>
        <v>300.86</v>
      </c>
      <c r="D101" s="470">
        <f>('[4]Bieu 57'!I101)/1000000</f>
        <v>300.86</v>
      </c>
      <c r="E101" s="339">
        <f t="shared" si="10"/>
        <v>300.86</v>
      </c>
      <c r="F101" s="340"/>
      <c r="G101" s="340"/>
      <c r="H101" s="340"/>
      <c r="I101" s="340"/>
      <c r="J101" s="340"/>
      <c r="K101" s="340"/>
      <c r="L101" s="340"/>
      <c r="M101" s="340"/>
      <c r="N101" s="340"/>
      <c r="O101" s="340"/>
      <c r="P101" s="340"/>
      <c r="Q101" s="340"/>
      <c r="R101" s="340"/>
      <c r="S101" s="340"/>
      <c r="T101" s="340"/>
    </row>
    <row r="102" spans="1:20" ht="12.75">
      <c r="A102" s="429">
        <v>17</v>
      </c>
      <c r="B102" s="436" t="s">
        <v>1183</v>
      </c>
      <c r="C102" s="470">
        <f>('[4]Bieu 57'!D102)/1000000</f>
        <v>26.42</v>
      </c>
      <c r="D102" s="470">
        <f>('[4]Bieu 57'!I102)/1000000</f>
        <v>26.42</v>
      </c>
      <c r="E102" s="339">
        <f t="shared" si="10"/>
        <v>26.42</v>
      </c>
      <c r="F102" s="340"/>
      <c r="G102" s="340"/>
      <c r="H102" s="340"/>
      <c r="I102" s="340"/>
      <c r="J102" s="340"/>
      <c r="K102" s="340"/>
      <c r="L102" s="340"/>
      <c r="M102" s="340"/>
      <c r="N102" s="340"/>
      <c r="O102" s="340"/>
      <c r="P102" s="340"/>
      <c r="Q102" s="340"/>
      <c r="R102" s="340"/>
      <c r="S102" s="340"/>
      <c r="T102" s="340"/>
    </row>
    <row r="103" spans="1:20" ht="12.75">
      <c r="A103" s="429">
        <v>18</v>
      </c>
      <c r="B103" s="436" t="s">
        <v>1184</v>
      </c>
      <c r="C103" s="470">
        <f>('[4]Bieu 57'!D103)/1000000</f>
        <v>118.615</v>
      </c>
      <c r="D103" s="470">
        <f>('[4]Bieu 57'!I103)/1000000</f>
        <v>118.615</v>
      </c>
      <c r="E103" s="339">
        <f t="shared" si="10"/>
        <v>118.615</v>
      </c>
      <c r="F103" s="340"/>
      <c r="G103" s="340"/>
      <c r="H103" s="340"/>
      <c r="I103" s="340"/>
      <c r="J103" s="340"/>
      <c r="K103" s="340"/>
      <c r="L103" s="340"/>
      <c r="M103" s="340"/>
      <c r="N103" s="340"/>
      <c r="O103" s="340"/>
      <c r="P103" s="340"/>
      <c r="Q103" s="340"/>
      <c r="R103" s="340"/>
      <c r="S103" s="340"/>
      <c r="T103" s="340"/>
    </row>
    <row r="104" spans="1:20" ht="12.75">
      <c r="A104" s="429">
        <v>19</v>
      </c>
      <c r="B104" s="436" t="s">
        <v>1185</v>
      </c>
      <c r="C104" s="470">
        <f>('[4]Bieu 57'!D104)/1000000</f>
        <v>36.12</v>
      </c>
      <c r="D104" s="470">
        <f>('[4]Bieu 57'!I104)/1000000</f>
        <v>36.12</v>
      </c>
      <c r="E104" s="339">
        <f t="shared" si="10"/>
        <v>36.12</v>
      </c>
      <c r="F104" s="340"/>
      <c r="G104" s="340"/>
      <c r="H104" s="340"/>
      <c r="I104" s="340"/>
      <c r="J104" s="340"/>
      <c r="K104" s="340"/>
      <c r="L104" s="340"/>
      <c r="M104" s="340"/>
      <c r="N104" s="340"/>
      <c r="O104" s="340"/>
      <c r="P104" s="340"/>
      <c r="Q104" s="340"/>
      <c r="R104" s="340"/>
      <c r="S104" s="340"/>
      <c r="T104" s="340"/>
    </row>
    <row r="105" spans="1:20" ht="12.75">
      <c r="A105" s="429">
        <v>20</v>
      </c>
      <c r="B105" s="436" t="s">
        <v>1186</v>
      </c>
      <c r="C105" s="470">
        <f>('[4]Bieu 57'!D105)/1000000</f>
        <v>151.78</v>
      </c>
      <c r="D105" s="470">
        <f>('[4]Bieu 57'!I105)/1000000</f>
        <v>151.78</v>
      </c>
      <c r="E105" s="339">
        <f t="shared" si="10"/>
        <v>151.78</v>
      </c>
      <c r="F105" s="340"/>
      <c r="G105" s="340"/>
      <c r="H105" s="340"/>
      <c r="I105" s="340"/>
      <c r="J105" s="340"/>
      <c r="K105" s="340"/>
      <c r="L105" s="340"/>
      <c r="M105" s="340"/>
      <c r="N105" s="340"/>
      <c r="O105" s="340"/>
      <c r="P105" s="340"/>
      <c r="Q105" s="340"/>
      <c r="R105" s="340"/>
      <c r="S105" s="340"/>
      <c r="T105" s="340"/>
    </row>
    <row r="106" spans="1:20" ht="12.75">
      <c r="A106" s="429">
        <v>21</v>
      </c>
      <c r="B106" s="436" t="s">
        <v>1187</v>
      </c>
      <c r="C106" s="470">
        <f>('[4]Bieu 57'!D106)/1000000</f>
        <v>180.08</v>
      </c>
      <c r="D106" s="470">
        <f>('[4]Bieu 57'!I106)/1000000</f>
        <v>180.08</v>
      </c>
      <c r="E106" s="339">
        <f t="shared" si="10"/>
        <v>180.08</v>
      </c>
      <c r="F106" s="340"/>
      <c r="G106" s="340"/>
      <c r="H106" s="340"/>
      <c r="I106" s="340"/>
      <c r="J106" s="340"/>
      <c r="K106" s="340"/>
      <c r="L106" s="340"/>
      <c r="M106" s="340"/>
      <c r="N106" s="340"/>
      <c r="O106" s="340"/>
      <c r="P106" s="340"/>
      <c r="Q106" s="340"/>
      <c r="R106" s="340"/>
      <c r="S106" s="340"/>
      <c r="T106" s="340"/>
    </row>
    <row r="107" spans="1:20" ht="12.75">
      <c r="A107" s="429">
        <v>22</v>
      </c>
      <c r="B107" s="436" t="s">
        <v>1188</v>
      </c>
      <c r="C107" s="470">
        <f>('[4]Bieu 57'!D107)/1000000</f>
        <v>93.29</v>
      </c>
      <c r="D107" s="470">
        <f>('[4]Bieu 57'!I107)/1000000</f>
        <v>93.29</v>
      </c>
      <c r="E107" s="339">
        <f t="shared" si="10"/>
        <v>93.29</v>
      </c>
      <c r="F107" s="340"/>
      <c r="G107" s="340"/>
      <c r="H107" s="340"/>
      <c r="I107" s="340"/>
      <c r="J107" s="340"/>
      <c r="K107" s="340"/>
      <c r="L107" s="340"/>
      <c r="M107" s="340"/>
      <c r="N107" s="340"/>
      <c r="O107" s="340"/>
      <c r="P107" s="340"/>
      <c r="Q107" s="340"/>
      <c r="R107" s="340"/>
      <c r="S107" s="340"/>
      <c r="T107" s="340"/>
    </row>
    <row r="108" spans="1:20" ht="12.75">
      <c r="A108" s="429">
        <v>23</v>
      </c>
      <c r="B108" s="436" t="s">
        <v>1189</v>
      </c>
      <c r="C108" s="470">
        <f>('[4]Bieu 57'!D108)/1000000</f>
        <v>771.399</v>
      </c>
      <c r="D108" s="470">
        <f>('[4]Bieu 57'!I108)/1000000</f>
        <v>771.399</v>
      </c>
      <c r="E108" s="339">
        <f t="shared" si="10"/>
        <v>771.399</v>
      </c>
      <c r="F108" s="340"/>
      <c r="G108" s="340"/>
      <c r="H108" s="340"/>
      <c r="I108" s="340"/>
      <c r="J108" s="340"/>
      <c r="K108" s="340"/>
      <c r="L108" s="340"/>
      <c r="M108" s="340"/>
      <c r="N108" s="340"/>
      <c r="O108" s="340"/>
      <c r="P108" s="340"/>
      <c r="Q108" s="340"/>
      <c r="R108" s="340"/>
      <c r="S108" s="340"/>
      <c r="T108" s="340"/>
    </row>
    <row r="109" spans="1:20" ht="12.75">
      <c r="A109" s="429">
        <v>24</v>
      </c>
      <c r="B109" s="436" t="s">
        <v>1190</v>
      </c>
      <c r="C109" s="470">
        <f>('[4]Bieu 57'!D109)/1000000</f>
        <v>75.97</v>
      </c>
      <c r="D109" s="470">
        <f>('[4]Bieu 57'!I109)/1000000</f>
        <v>75.97</v>
      </c>
      <c r="E109" s="339">
        <f t="shared" si="10"/>
        <v>75.97</v>
      </c>
      <c r="F109" s="340"/>
      <c r="G109" s="340"/>
      <c r="H109" s="340"/>
      <c r="I109" s="340"/>
      <c r="J109" s="340"/>
      <c r="K109" s="340"/>
      <c r="L109" s="340"/>
      <c r="M109" s="340"/>
      <c r="N109" s="340"/>
      <c r="O109" s="340"/>
      <c r="P109" s="340"/>
      <c r="Q109" s="340"/>
      <c r="R109" s="340"/>
      <c r="S109" s="340"/>
      <c r="T109" s="340"/>
    </row>
    <row r="110" spans="1:20" ht="12.75">
      <c r="A110" s="429">
        <v>25</v>
      </c>
      <c r="B110" s="436" t="s">
        <v>1191</v>
      </c>
      <c r="C110" s="470">
        <f>('[4]Bieu 57'!D110)/1000000</f>
        <v>58.575</v>
      </c>
      <c r="D110" s="470">
        <f>('[4]Bieu 57'!I110)/1000000</f>
        <v>58.575</v>
      </c>
      <c r="E110" s="339">
        <f t="shared" si="10"/>
        <v>58.575</v>
      </c>
      <c r="F110" s="340"/>
      <c r="G110" s="340"/>
      <c r="H110" s="340"/>
      <c r="I110" s="340"/>
      <c r="J110" s="340"/>
      <c r="K110" s="340"/>
      <c r="L110" s="340"/>
      <c r="M110" s="340"/>
      <c r="N110" s="340"/>
      <c r="O110" s="340"/>
      <c r="P110" s="340"/>
      <c r="Q110" s="340"/>
      <c r="R110" s="340"/>
      <c r="S110" s="340"/>
      <c r="T110" s="340"/>
    </row>
    <row r="111" spans="1:20" ht="12.75">
      <c r="A111" s="429">
        <v>26</v>
      </c>
      <c r="B111" s="436" t="s">
        <v>1192</v>
      </c>
      <c r="C111" s="470">
        <f>('[4]Bieu 57'!D111)/1000000</f>
        <v>196.965</v>
      </c>
      <c r="D111" s="470">
        <f>('[4]Bieu 57'!I111)/1000000</f>
        <v>196.965</v>
      </c>
      <c r="E111" s="339">
        <f t="shared" si="10"/>
        <v>196.965</v>
      </c>
      <c r="F111" s="340"/>
      <c r="G111" s="340"/>
      <c r="H111" s="340"/>
      <c r="I111" s="340"/>
      <c r="J111" s="340"/>
      <c r="K111" s="340"/>
      <c r="L111" s="340"/>
      <c r="M111" s="340"/>
      <c r="N111" s="340"/>
      <c r="O111" s="340"/>
      <c r="P111" s="340"/>
      <c r="Q111" s="340"/>
      <c r="R111" s="340"/>
      <c r="S111" s="340"/>
      <c r="T111" s="340"/>
    </row>
    <row r="112" spans="1:20" ht="12.75">
      <c r="A112" s="429">
        <v>27</v>
      </c>
      <c r="B112" s="436" t="s">
        <v>1193</v>
      </c>
      <c r="C112" s="470">
        <f>('[4]Bieu 57'!D112)/1000000</f>
        <v>210.44</v>
      </c>
      <c r="D112" s="470">
        <f>('[4]Bieu 57'!I112)/1000000</f>
        <v>210.44</v>
      </c>
      <c r="E112" s="339">
        <f t="shared" si="10"/>
        <v>210.44</v>
      </c>
      <c r="F112" s="340"/>
      <c r="G112" s="340"/>
      <c r="H112" s="340"/>
      <c r="I112" s="340"/>
      <c r="J112" s="340"/>
      <c r="K112" s="340"/>
      <c r="L112" s="340"/>
      <c r="M112" s="340"/>
      <c r="N112" s="340"/>
      <c r="O112" s="340"/>
      <c r="P112" s="340"/>
      <c r="Q112" s="340"/>
      <c r="R112" s="340"/>
      <c r="S112" s="340"/>
      <c r="T112" s="340"/>
    </row>
    <row r="113" spans="1:20" ht="12.75">
      <c r="A113" s="429">
        <v>28</v>
      </c>
      <c r="B113" s="436" t="s">
        <v>1194</v>
      </c>
      <c r="C113" s="470">
        <f>('[4]Bieu 57'!D113)/1000000</f>
        <v>198.445</v>
      </c>
      <c r="D113" s="470">
        <f>('[4]Bieu 57'!I113)/1000000</f>
        <v>198.445</v>
      </c>
      <c r="E113" s="339">
        <f t="shared" si="10"/>
        <v>198.445</v>
      </c>
      <c r="F113" s="340"/>
      <c r="G113" s="340"/>
      <c r="H113" s="340"/>
      <c r="I113" s="340"/>
      <c r="J113" s="340"/>
      <c r="K113" s="340"/>
      <c r="L113" s="340"/>
      <c r="M113" s="340"/>
      <c r="N113" s="340"/>
      <c r="O113" s="340"/>
      <c r="P113" s="340"/>
      <c r="Q113" s="340"/>
      <c r="R113" s="340"/>
      <c r="S113" s="340"/>
      <c r="T113" s="340"/>
    </row>
    <row r="114" spans="1:20" ht="12.75">
      <c r="A114" s="429">
        <v>29</v>
      </c>
      <c r="B114" s="436" t="s">
        <v>1195</v>
      </c>
      <c r="C114" s="470">
        <f>('[4]Bieu 57'!D114)/1000000</f>
        <v>174.88</v>
      </c>
      <c r="D114" s="470">
        <f>('[4]Bieu 57'!I114)/1000000</f>
        <v>174.88</v>
      </c>
      <c r="E114" s="339">
        <f t="shared" si="10"/>
        <v>174.88</v>
      </c>
      <c r="F114" s="340"/>
      <c r="G114" s="340"/>
      <c r="H114" s="340"/>
      <c r="I114" s="340"/>
      <c r="J114" s="340"/>
      <c r="K114" s="340"/>
      <c r="L114" s="340"/>
      <c r="M114" s="340"/>
      <c r="N114" s="340"/>
      <c r="O114" s="340"/>
      <c r="P114" s="340"/>
      <c r="Q114" s="340"/>
      <c r="R114" s="340"/>
      <c r="S114" s="340"/>
      <c r="T114" s="340"/>
    </row>
    <row r="115" spans="1:20" ht="12.75">
      <c r="A115" s="429"/>
      <c r="B115" s="430"/>
      <c r="C115" s="472">
        <f>'[4]Bieu 57'!D115</f>
        <v>0</v>
      </c>
      <c r="D115" s="470">
        <f>('[4]Bieu 57'!I115)/1000000</f>
        <v>0</v>
      </c>
      <c r="E115" s="339">
        <f t="shared" si="10"/>
        <v>0</v>
      </c>
      <c r="F115" s="340"/>
      <c r="G115" s="340"/>
      <c r="H115" s="340"/>
      <c r="I115" s="340"/>
      <c r="J115" s="340"/>
      <c r="K115" s="340"/>
      <c r="L115" s="340"/>
      <c r="M115" s="340"/>
      <c r="N115" s="340"/>
      <c r="O115" s="340"/>
      <c r="P115" s="340"/>
      <c r="Q115" s="340"/>
      <c r="R115" s="340"/>
      <c r="S115" s="340"/>
      <c r="T115" s="340"/>
    </row>
    <row r="116" spans="1:20" ht="12.75">
      <c r="A116" s="429"/>
      <c r="B116" s="430"/>
      <c r="C116" s="472">
        <f>'[4]Bieu 57'!D116</f>
        <v>0</v>
      </c>
      <c r="D116" s="470">
        <f>('[4]Bieu 57'!I116)/1000000</f>
        <v>0</v>
      </c>
      <c r="E116" s="339">
        <f t="shared" si="10"/>
        <v>0</v>
      </c>
      <c r="F116" s="340"/>
      <c r="G116" s="340"/>
      <c r="H116" s="340"/>
      <c r="I116" s="340"/>
      <c r="J116" s="340"/>
      <c r="K116" s="340"/>
      <c r="L116" s="340"/>
      <c r="M116" s="340"/>
      <c r="N116" s="340"/>
      <c r="O116" s="340"/>
      <c r="P116" s="340"/>
      <c r="Q116" s="340"/>
      <c r="R116" s="340"/>
      <c r="S116" s="340"/>
      <c r="T116" s="340"/>
    </row>
    <row r="117" spans="1:20" s="422" customFormat="1" ht="38.25">
      <c r="A117" s="437" t="s">
        <v>1279</v>
      </c>
      <c r="B117" s="433" t="s">
        <v>1280</v>
      </c>
      <c r="C117" s="469">
        <f>SUM(C118:C134)</f>
        <v>597.9640000000002</v>
      </c>
      <c r="D117" s="469">
        <f aca="true" t="shared" si="11" ref="D117:T117">SUM(D118:D134)</f>
        <v>597.9640000000002</v>
      </c>
      <c r="E117" s="469">
        <f t="shared" si="11"/>
        <v>597.9640000000002</v>
      </c>
      <c r="F117" s="469">
        <f t="shared" si="11"/>
        <v>0</v>
      </c>
      <c r="G117" s="469">
        <f t="shared" si="11"/>
        <v>0</v>
      </c>
      <c r="H117" s="469">
        <f t="shared" si="11"/>
        <v>0</v>
      </c>
      <c r="I117" s="469">
        <f t="shared" si="11"/>
        <v>0</v>
      </c>
      <c r="J117" s="469">
        <f t="shared" si="11"/>
        <v>0</v>
      </c>
      <c r="K117" s="469">
        <f t="shared" si="11"/>
        <v>0</v>
      </c>
      <c r="L117" s="469">
        <f t="shared" si="11"/>
        <v>0</v>
      </c>
      <c r="M117" s="469">
        <f t="shared" si="11"/>
        <v>0</v>
      </c>
      <c r="N117" s="469">
        <f t="shared" si="11"/>
        <v>0</v>
      </c>
      <c r="O117" s="469">
        <f t="shared" si="11"/>
        <v>0</v>
      </c>
      <c r="P117" s="469">
        <f t="shared" si="11"/>
        <v>0</v>
      </c>
      <c r="Q117" s="469">
        <f t="shared" si="11"/>
        <v>0</v>
      </c>
      <c r="R117" s="469">
        <f t="shared" si="11"/>
        <v>0</v>
      </c>
      <c r="S117" s="469">
        <f t="shared" si="11"/>
        <v>0</v>
      </c>
      <c r="T117" s="469">
        <f t="shared" si="11"/>
        <v>0</v>
      </c>
    </row>
    <row r="118" spans="1:20" ht="12.75">
      <c r="A118" s="429">
        <v>1</v>
      </c>
      <c r="B118" s="430" t="s">
        <v>1281</v>
      </c>
      <c r="C118" s="470">
        <f>('[4]Bieu 57'!D118)/1000000</f>
        <v>355.92</v>
      </c>
      <c r="D118" s="470">
        <f>('[4]Bieu 57'!I118)/1000000</f>
        <v>355.92</v>
      </c>
      <c r="E118" s="339">
        <f>D118</f>
        <v>355.92</v>
      </c>
      <c r="F118" s="340"/>
      <c r="G118" s="340"/>
      <c r="H118" s="340"/>
      <c r="I118" s="340"/>
      <c r="J118" s="340"/>
      <c r="K118" s="340"/>
      <c r="L118" s="340"/>
      <c r="M118" s="340"/>
      <c r="N118" s="340"/>
      <c r="O118" s="340"/>
      <c r="P118" s="340"/>
      <c r="Q118" s="340"/>
      <c r="R118" s="340"/>
      <c r="S118" s="340"/>
      <c r="T118" s="340"/>
    </row>
    <row r="119" spans="1:20" ht="12.75">
      <c r="A119" s="429">
        <v>2</v>
      </c>
      <c r="B119" s="430" t="s">
        <v>1185</v>
      </c>
      <c r="C119" s="470">
        <f>('[4]Bieu 57'!D119)/1000000</f>
        <v>4.66</v>
      </c>
      <c r="D119" s="470">
        <f>('[4]Bieu 57'!I119)/1000000</f>
        <v>4.66</v>
      </c>
      <c r="E119" s="339">
        <f aca="true" t="shared" si="12" ref="E119:E134">D119</f>
        <v>4.66</v>
      </c>
      <c r="F119" s="340"/>
      <c r="G119" s="340"/>
      <c r="H119" s="340"/>
      <c r="I119" s="340"/>
      <c r="J119" s="340"/>
      <c r="K119" s="340"/>
      <c r="L119" s="340"/>
      <c r="M119" s="340"/>
      <c r="N119" s="340"/>
      <c r="O119" s="340"/>
      <c r="P119" s="340"/>
      <c r="Q119" s="340"/>
      <c r="R119" s="340"/>
      <c r="S119" s="340"/>
      <c r="T119" s="340"/>
    </row>
    <row r="120" spans="1:20" ht="12.75">
      <c r="A120" s="429">
        <v>3</v>
      </c>
      <c r="B120" s="430" t="s">
        <v>1171</v>
      </c>
      <c r="C120" s="470">
        <f>('[4]Bieu 57'!D120)/1000000</f>
        <v>10</v>
      </c>
      <c r="D120" s="470">
        <f>('[4]Bieu 57'!I120)/1000000</f>
        <v>10</v>
      </c>
      <c r="E120" s="339">
        <f t="shared" si="12"/>
        <v>10</v>
      </c>
      <c r="F120" s="340"/>
      <c r="G120" s="340"/>
      <c r="H120" s="340"/>
      <c r="I120" s="340"/>
      <c r="J120" s="340"/>
      <c r="K120" s="340"/>
      <c r="L120" s="340"/>
      <c r="M120" s="340"/>
      <c r="N120" s="340"/>
      <c r="O120" s="340"/>
      <c r="P120" s="340"/>
      <c r="Q120" s="340"/>
      <c r="R120" s="340"/>
      <c r="S120" s="340"/>
      <c r="T120" s="340"/>
    </row>
    <row r="121" spans="1:20" ht="12.75">
      <c r="A121" s="429">
        <v>4</v>
      </c>
      <c r="B121" s="430" t="s">
        <v>1172</v>
      </c>
      <c r="C121" s="470">
        <f>('[4]Bieu 57'!D121)/1000000</f>
        <v>4.66</v>
      </c>
      <c r="D121" s="470">
        <f>('[4]Bieu 57'!I121)/1000000</f>
        <v>4.66</v>
      </c>
      <c r="E121" s="339">
        <f t="shared" si="12"/>
        <v>4.66</v>
      </c>
      <c r="F121" s="340"/>
      <c r="G121" s="340"/>
      <c r="H121" s="340"/>
      <c r="I121" s="340"/>
      <c r="J121" s="340"/>
      <c r="K121" s="340"/>
      <c r="L121" s="340"/>
      <c r="M121" s="340"/>
      <c r="N121" s="340"/>
      <c r="O121" s="340"/>
      <c r="P121" s="340"/>
      <c r="Q121" s="340"/>
      <c r="R121" s="340"/>
      <c r="S121" s="340"/>
      <c r="T121" s="340"/>
    </row>
    <row r="122" spans="1:20" ht="12.75">
      <c r="A122" s="429">
        <v>5</v>
      </c>
      <c r="B122" s="430" t="s">
        <v>1174</v>
      </c>
      <c r="C122" s="470">
        <f>('[4]Bieu 57'!D122)/1000000</f>
        <v>4.66</v>
      </c>
      <c r="D122" s="470">
        <f>('[4]Bieu 57'!I122)/1000000</f>
        <v>4.66</v>
      </c>
      <c r="E122" s="339">
        <f t="shared" si="12"/>
        <v>4.66</v>
      </c>
      <c r="F122" s="340"/>
      <c r="G122" s="340"/>
      <c r="H122" s="340"/>
      <c r="I122" s="340"/>
      <c r="J122" s="340"/>
      <c r="K122" s="340"/>
      <c r="L122" s="340"/>
      <c r="M122" s="340"/>
      <c r="N122" s="340"/>
      <c r="O122" s="340"/>
      <c r="P122" s="340"/>
      <c r="Q122" s="340"/>
      <c r="R122" s="340"/>
      <c r="S122" s="340"/>
      <c r="T122" s="340"/>
    </row>
    <row r="123" spans="1:20" ht="12.75">
      <c r="A123" s="429">
        <v>6</v>
      </c>
      <c r="B123" s="430" t="s">
        <v>1177</v>
      </c>
      <c r="C123" s="470">
        <f>('[4]Bieu 57'!D123)/1000000</f>
        <v>19.32</v>
      </c>
      <c r="D123" s="470">
        <f>('[4]Bieu 57'!I123)/1000000</f>
        <v>19.32</v>
      </c>
      <c r="E123" s="339">
        <f t="shared" si="12"/>
        <v>19.32</v>
      </c>
      <c r="F123" s="340"/>
      <c r="G123" s="340"/>
      <c r="H123" s="340"/>
      <c r="I123" s="340"/>
      <c r="J123" s="340"/>
      <c r="K123" s="340"/>
      <c r="L123" s="340"/>
      <c r="M123" s="340"/>
      <c r="N123" s="340"/>
      <c r="O123" s="340"/>
      <c r="P123" s="340"/>
      <c r="Q123" s="340"/>
      <c r="R123" s="340"/>
      <c r="S123" s="340"/>
      <c r="T123" s="340"/>
    </row>
    <row r="124" spans="1:20" ht="12.75">
      <c r="A124" s="429">
        <v>7</v>
      </c>
      <c r="B124" s="430" t="s">
        <v>1178</v>
      </c>
      <c r="C124" s="470">
        <f>('[4]Bieu 57'!D124)/1000000</f>
        <v>9.32</v>
      </c>
      <c r="D124" s="470">
        <f>('[4]Bieu 57'!I124)/1000000</f>
        <v>9.32</v>
      </c>
      <c r="E124" s="339">
        <f t="shared" si="12"/>
        <v>9.32</v>
      </c>
      <c r="F124" s="340"/>
      <c r="G124" s="340"/>
      <c r="H124" s="340"/>
      <c r="I124" s="340"/>
      <c r="J124" s="340"/>
      <c r="K124" s="340"/>
      <c r="L124" s="340"/>
      <c r="M124" s="340"/>
      <c r="N124" s="340"/>
      <c r="O124" s="340"/>
      <c r="P124" s="340"/>
      <c r="Q124" s="340"/>
      <c r="R124" s="340"/>
      <c r="S124" s="340"/>
      <c r="T124" s="340"/>
    </row>
    <row r="125" spans="1:20" ht="12.75">
      <c r="A125" s="429">
        <v>8</v>
      </c>
      <c r="B125" s="430" t="s">
        <v>1179</v>
      </c>
      <c r="C125" s="470">
        <f>('[4]Bieu 57'!D125)/1000000</f>
        <v>4.66</v>
      </c>
      <c r="D125" s="470">
        <f>('[4]Bieu 57'!I125)/1000000</f>
        <v>4.66</v>
      </c>
      <c r="E125" s="339">
        <f t="shared" si="12"/>
        <v>4.66</v>
      </c>
      <c r="F125" s="340"/>
      <c r="G125" s="340"/>
      <c r="H125" s="340"/>
      <c r="I125" s="340"/>
      <c r="J125" s="340"/>
      <c r="K125" s="340"/>
      <c r="L125" s="340"/>
      <c r="M125" s="340"/>
      <c r="N125" s="340"/>
      <c r="O125" s="340"/>
      <c r="P125" s="340"/>
      <c r="Q125" s="340"/>
      <c r="R125" s="340"/>
      <c r="S125" s="340"/>
      <c r="T125" s="340"/>
    </row>
    <row r="126" spans="1:20" ht="12.75">
      <c r="A126" s="429">
        <v>9</v>
      </c>
      <c r="B126" s="430" t="s">
        <v>1180</v>
      </c>
      <c r="C126" s="470">
        <f>('[4]Bieu 57'!D126)/1000000</f>
        <v>4.66</v>
      </c>
      <c r="D126" s="470">
        <f>('[4]Bieu 57'!I126)/1000000</f>
        <v>4.66</v>
      </c>
      <c r="E126" s="339">
        <f t="shared" si="12"/>
        <v>4.66</v>
      </c>
      <c r="F126" s="340"/>
      <c r="G126" s="340"/>
      <c r="H126" s="340"/>
      <c r="I126" s="340"/>
      <c r="J126" s="340"/>
      <c r="K126" s="340"/>
      <c r="L126" s="340"/>
      <c r="M126" s="340"/>
      <c r="N126" s="340"/>
      <c r="O126" s="340"/>
      <c r="P126" s="340"/>
      <c r="Q126" s="340"/>
      <c r="R126" s="340"/>
      <c r="S126" s="340"/>
      <c r="T126" s="340"/>
    </row>
    <row r="127" spans="1:20" ht="12.75">
      <c r="A127" s="429">
        <v>10</v>
      </c>
      <c r="B127" s="430" t="s">
        <v>1183</v>
      </c>
      <c r="C127" s="470">
        <f>('[4]Bieu 57'!D127)/1000000</f>
        <v>10</v>
      </c>
      <c r="D127" s="470">
        <f>('[4]Bieu 57'!I127)/1000000</f>
        <v>10</v>
      </c>
      <c r="E127" s="339">
        <f t="shared" si="12"/>
        <v>10</v>
      </c>
      <c r="F127" s="340"/>
      <c r="G127" s="340"/>
      <c r="H127" s="340"/>
      <c r="I127" s="340"/>
      <c r="J127" s="340"/>
      <c r="K127" s="340"/>
      <c r="L127" s="340"/>
      <c r="M127" s="340"/>
      <c r="N127" s="340"/>
      <c r="O127" s="340"/>
      <c r="P127" s="340"/>
      <c r="Q127" s="340"/>
      <c r="R127" s="340"/>
      <c r="S127" s="340"/>
      <c r="T127" s="340"/>
    </row>
    <row r="128" spans="1:20" ht="12.75">
      <c r="A128" s="429">
        <v>11</v>
      </c>
      <c r="B128" s="430" t="s">
        <v>1186</v>
      </c>
      <c r="C128" s="470">
        <f>('[4]Bieu 57'!D128)/1000000</f>
        <v>10</v>
      </c>
      <c r="D128" s="470">
        <f>('[4]Bieu 57'!I128)/1000000</f>
        <v>10</v>
      </c>
      <c r="E128" s="339">
        <f t="shared" si="12"/>
        <v>10</v>
      </c>
      <c r="F128" s="340"/>
      <c r="G128" s="340"/>
      <c r="H128" s="340"/>
      <c r="I128" s="340"/>
      <c r="J128" s="340"/>
      <c r="K128" s="340"/>
      <c r="L128" s="340"/>
      <c r="M128" s="340"/>
      <c r="N128" s="340"/>
      <c r="O128" s="340"/>
      <c r="P128" s="340"/>
      <c r="Q128" s="340"/>
      <c r="R128" s="340"/>
      <c r="S128" s="340"/>
      <c r="T128" s="340"/>
    </row>
    <row r="129" spans="1:20" ht="12.75">
      <c r="A129" s="429">
        <v>12</v>
      </c>
      <c r="B129" s="430" t="s">
        <v>1188</v>
      </c>
      <c r="C129" s="470">
        <f>('[4]Bieu 57'!D129)/1000000</f>
        <v>20</v>
      </c>
      <c r="D129" s="470">
        <f>('[4]Bieu 57'!I129)/1000000</f>
        <v>20</v>
      </c>
      <c r="E129" s="339">
        <f t="shared" si="12"/>
        <v>20</v>
      </c>
      <c r="F129" s="340"/>
      <c r="G129" s="340"/>
      <c r="H129" s="340"/>
      <c r="I129" s="340"/>
      <c r="J129" s="340"/>
      <c r="K129" s="340"/>
      <c r="L129" s="340"/>
      <c r="M129" s="340"/>
      <c r="N129" s="340"/>
      <c r="O129" s="340"/>
      <c r="P129" s="340"/>
      <c r="Q129" s="340"/>
      <c r="R129" s="340"/>
      <c r="S129" s="340"/>
      <c r="T129" s="340"/>
    </row>
    <row r="130" spans="1:20" ht="12.75">
      <c r="A130" s="429">
        <v>13</v>
      </c>
      <c r="B130" s="430" t="s">
        <v>1282</v>
      </c>
      <c r="C130" s="470">
        <f>('[4]Bieu 57'!D130)/1000000</f>
        <v>35.34</v>
      </c>
      <c r="D130" s="470">
        <f>('[4]Bieu 57'!I130)/1000000</f>
        <v>35.34</v>
      </c>
      <c r="E130" s="339">
        <f t="shared" si="12"/>
        <v>35.34</v>
      </c>
      <c r="F130" s="340"/>
      <c r="G130" s="340"/>
      <c r="H130" s="340"/>
      <c r="I130" s="340"/>
      <c r="J130" s="340"/>
      <c r="K130" s="340"/>
      <c r="L130" s="340"/>
      <c r="M130" s="340"/>
      <c r="N130" s="340"/>
      <c r="O130" s="340"/>
      <c r="P130" s="340"/>
      <c r="Q130" s="340"/>
      <c r="R130" s="340"/>
      <c r="S130" s="340"/>
      <c r="T130" s="340"/>
    </row>
    <row r="131" spans="1:20" ht="12.75">
      <c r="A131" s="429">
        <v>14</v>
      </c>
      <c r="B131" s="430" t="s">
        <v>1191</v>
      </c>
      <c r="C131" s="470">
        <f>('[4]Bieu 57'!D131)/1000000</f>
        <v>15.34</v>
      </c>
      <c r="D131" s="470">
        <f>('[4]Bieu 57'!I131)/1000000</f>
        <v>15.34</v>
      </c>
      <c r="E131" s="339">
        <f t="shared" si="12"/>
        <v>15.34</v>
      </c>
      <c r="F131" s="340"/>
      <c r="G131" s="340"/>
      <c r="H131" s="340"/>
      <c r="I131" s="340"/>
      <c r="J131" s="340"/>
      <c r="K131" s="340"/>
      <c r="L131" s="340"/>
      <c r="M131" s="340"/>
      <c r="N131" s="340"/>
      <c r="O131" s="340"/>
      <c r="P131" s="340"/>
      <c r="Q131" s="340"/>
      <c r="R131" s="340"/>
      <c r="S131" s="340"/>
      <c r="T131" s="340"/>
    </row>
    <row r="132" spans="1:20" ht="12.75">
      <c r="A132" s="429">
        <v>15</v>
      </c>
      <c r="B132" s="430" t="s">
        <v>1192</v>
      </c>
      <c r="C132" s="470">
        <f>('[4]Bieu 57'!D132)/1000000</f>
        <v>24.66</v>
      </c>
      <c r="D132" s="470">
        <f>('[4]Bieu 57'!I132)/1000000</f>
        <v>24.66</v>
      </c>
      <c r="E132" s="339">
        <f t="shared" si="12"/>
        <v>24.66</v>
      </c>
      <c r="F132" s="340"/>
      <c r="G132" s="340"/>
      <c r="H132" s="340"/>
      <c r="I132" s="340"/>
      <c r="J132" s="340"/>
      <c r="K132" s="340"/>
      <c r="L132" s="340"/>
      <c r="M132" s="340"/>
      <c r="N132" s="340"/>
      <c r="O132" s="340"/>
      <c r="P132" s="340"/>
      <c r="Q132" s="340"/>
      <c r="R132" s="340"/>
      <c r="S132" s="340"/>
      <c r="T132" s="340"/>
    </row>
    <row r="133" spans="1:20" ht="12.75">
      <c r="A133" s="429">
        <v>16</v>
      </c>
      <c r="B133" s="430" t="s">
        <v>1194</v>
      </c>
      <c r="C133" s="470">
        <f>('[4]Bieu 57'!D133)/1000000</f>
        <v>49.424</v>
      </c>
      <c r="D133" s="470">
        <f>('[4]Bieu 57'!I133)/1000000</f>
        <v>49.424</v>
      </c>
      <c r="E133" s="339">
        <f t="shared" si="12"/>
        <v>49.424</v>
      </c>
      <c r="F133" s="340"/>
      <c r="G133" s="340"/>
      <c r="H133" s="340"/>
      <c r="I133" s="340"/>
      <c r="J133" s="340"/>
      <c r="K133" s="340"/>
      <c r="L133" s="340"/>
      <c r="M133" s="340"/>
      <c r="N133" s="340"/>
      <c r="O133" s="340"/>
      <c r="P133" s="340"/>
      <c r="Q133" s="340"/>
      <c r="R133" s="340"/>
      <c r="S133" s="340"/>
      <c r="T133" s="340"/>
    </row>
    <row r="134" spans="1:20" ht="12.75">
      <c r="A134" s="429">
        <v>17</v>
      </c>
      <c r="B134" s="430" t="s">
        <v>1195</v>
      </c>
      <c r="C134" s="470">
        <f>('[4]Bieu 57'!D134)/1000000</f>
        <v>15.34</v>
      </c>
      <c r="D134" s="470">
        <f>('[4]Bieu 57'!I134)/1000000</f>
        <v>15.34</v>
      </c>
      <c r="E134" s="339">
        <f t="shared" si="12"/>
        <v>15.34</v>
      </c>
      <c r="F134" s="340"/>
      <c r="G134" s="340"/>
      <c r="H134" s="340"/>
      <c r="I134" s="340"/>
      <c r="J134" s="340"/>
      <c r="K134" s="340"/>
      <c r="L134" s="340"/>
      <c r="M134" s="340"/>
      <c r="N134" s="340"/>
      <c r="O134" s="340"/>
      <c r="P134" s="340"/>
      <c r="Q134" s="340"/>
      <c r="R134" s="340"/>
      <c r="S134" s="340"/>
      <c r="T134" s="340"/>
    </row>
    <row r="135" spans="1:20" s="422" customFormat="1" ht="38.25">
      <c r="A135" s="435" t="s">
        <v>1283</v>
      </c>
      <c r="B135" s="433" t="s">
        <v>1284</v>
      </c>
      <c r="C135" s="469">
        <f>SUM(C136:C138)</f>
        <v>4778.461649999999</v>
      </c>
      <c r="D135" s="469">
        <f aca="true" t="shared" si="13" ref="D135:T135">SUM(D136:D138)</f>
        <v>4778.461649999999</v>
      </c>
      <c r="E135" s="469">
        <f t="shared" si="13"/>
        <v>4778.461649999999</v>
      </c>
      <c r="F135" s="469">
        <f t="shared" si="13"/>
        <v>0</v>
      </c>
      <c r="G135" s="469">
        <f t="shared" si="13"/>
        <v>0</v>
      </c>
      <c r="H135" s="469">
        <f t="shared" si="13"/>
        <v>0</v>
      </c>
      <c r="I135" s="469">
        <f t="shared" si="13"/>
        <v>0</v>
      </c>
      <c r="J135" s="469">
        <f t="shared" si="13"/>
        <v>0</v>
      </c>
      <c r="K135" s="469">
        <f t="shared" si="13"/>
        <v>0</v>
      </c>
      <c r="L135" s="469">
        <f t="shared" si="13"/>
        <v>0</v>
      </c>
      <c r="M135" s="469">
        <f t="shared" si="13"/>
        <v>0</v>
      </c>
      <c r="N135" s="469">
        <f t="shared" si="13"/>
        <v>0</v>
      </c>
      <c r="O135" s="469">
        <f t="shared" si="13"/>
        <v>0</v>
      </c>
      <c r="P135" s="469">
        <f t="shared" si="13"/>
        <v>0</v>
      </c>
      <c r="Q135" s="469">
        <f t="shared" si="13"/>
        <v>0</v>
      </c>
      <c r="R135" s="469">
        <f t="shared" si="13"/>
        <v>0</v>
      </c>
      <c r="S135" s="469">
        <f t="shared" si="13"/>
        <v>0</v>
      </c>
      <c r="T135" s="469">
        <f t="shared" si="13"/>
        <v>0</v>
      </c>
    </row>
    <row r="136" spans="1:20" ht="12.75">
      <c r="A136" s="429">
        <v>1</v>
      </c>
      <c r="B136" s="436" t="s">
        <v>1167</v>
      </c>
      <c r="C136" s="470">
        <f>('[4]Bieu 57'!D136)/1000000</f>
        <v>579.808</v>
      </c>
      <c r="D136" s="470">
        <f>('[4]Bieu 57'!I136)/1000000</f>
        <v>579.808</v>
      </c>
      <c r="E136" s="339">
        <f>D136</f>
        <v>579.808</v>
      </c>
      <c r="F136" s="340"/>
      <c r="G136" s="340"/>
      <c r="H136" s="340"/>
      <c r="I136" s="340"/>
      <c r="J136" s="340"/>
      <c r="K136" s="340"/>
      <c r="L136" s="340"/>
      <c r="M136" s="340"/>
      <c r="N136" s="340"/>
      <c r="O136" s="340"/>
      <c r="P136" s="340"/>
      <c r="Q136" s="340"/>
      <c r="R136" s="340"/>
      <c r="S136" s="340"/>
      <c r="T136" s="340"/>
    </row>
    <row r="137" spans="1:20" ht="12.75">
      <c r="A137" s="429">
        <v>2</v>
      </c>
      <c r="B137" s="436" t="s">
        <v>1282</v>
      </c>
      <c r="C137" s="470">
        <f>('[4]Bieu 57'!D137)/1000000</f>
        <v>1153.81</v>
      </c>
      <c r="D137" s="470">
        <f>('[4]Bieu 57'!I137)/1000000</f>
        <v>1153.81</v>
      </c>
      <c r="E137" s="339">
        <f>D137</f>
        <v>1153.81</v>
      </c>
      <c r="F137" s="340"/>
      <c r="G137" s="340"/>
      <c r="H137" s="340"/>
      <c r="I137" s="340"/>
      <c r="J137" s="340"/>
      <c r="K137" s="340"/>
      <c r="L137" s="340"/>
      <c r="M137" s="340"/>
      <c r="N137" s="340"/>
      <c r="O137" s="340"/>
      <c r="P137" s="340"/>
      <c r="Q137" s="340"/>
      <c r="R137" s="340"/>
      <c r="S137" s="340"/>
      <c r="T137" s="340"/>
    </row>
    <row r="138" spans="1:20" ht="12.75">
      <c r="A138" s="429">
        <v>3</v>
      </c>
      <c r="B138" s="436" t="s">
        <v>1192</v>
      </c>
      <c r="C138" s="470">
        <f>('[4]Bieu 57'!D138)/1000000</f>
        <v>3044.84365</v>
      </c>
      <c r="D138" s="470">
        <f>('[4]Bieu 57'!I138)/1000000</f>
        <v>3044.84365</v>
      </c>
      <c r="E138" s="339">
        <f>D138</f>
        <v>3044.84365</v>
      </c>
      <c r="F138" s="340"/>
      <c r="G138" s="340"/>
      <c r="H138" s="340"/>
      <c r="I138" s="340"/>
      <c r="J138" s="340"/>
      <c r="K138" s="340"/>
      <c r="L138" s="340"/>
      <c r="M138" s="340"/>
      <c r="N138" s="340"/>
      <c r="O138" s="340"/>
      <c r="P138" s="340"/>
      <c r="Q138" s="340"/>
      <c r="R138" s="340"/>
      <c r="S138" s="340"/>
      <c r="T138" s="340"/>
    </row>
    <row r="139" spans="1:20" ht="12.75">
      <c r="A139" s="429"/>
      <c r="B139" s="431"/>
      <c r="C139" s="472">
        <f>'[4]Bieu 57'!D139</f>
        <v>0</v>
      </c>
      <c r="D139" s="339">
        <f>'[4]Bieu 57'!I139</f>
        <v>0</v>
      </c>
      <c r="E139" s="339">
        <f>D139</f>
        <v>0</v>
      </c>
      <c r="F139" s="468"/>
      <c r="G139" s="468"/>
      <c r="H139" s="468"/>
      <c r="I139" s="468"/>
      <c r="J139" s="468"/>
      <c r="K139" s="468"/>
      <c r="L139" s="468"/>
      <c r="M139" s="468"/>
      <c r="N139" s="468"/>
      <c r="O139" s="468"/>
      <c r="P139" s="468"/>
      <c r="Q139" s="468"/>
      <c r="R139" s="468"/>
      <c r="S139" s="468"/>
      <c r="T139" s="468"/>
    </row>
    <row r="140" spans="1:20" s="422" customFormat="1" ht="12.75">
      <c r="A140" s="419" t="s">
        <v>1285</v>
      </c>
      <c r="B140" s="420" t="s">
        <v>1286</v>
      </c>
      <c r="C140" s="469">
        <f>SUM(C141:C154)+C182</f>
        <v>56174.949242</v>
      </c>
      <c r="D140" s="469">
        <f aca="true" t="shared" si="14" ref="D140:T140">SUM(D141:D154)+D182</f>
        <v>54954.633627999996</v>
      </c>
      <c r="E140" s="469">
        <f t="shared" si="14"/>
        <v>54954.633627999996</v>
      </c>
      <c r="F140" s="469">
        <f t="shared" si="14"/>
        <v>0</v>
      </c>
      <c r="G140" s="469">
        <f t="shared" si="14"/>
        <v>0</v>
      </c>
      <c r="H140" s="469">
        <f t="shared" si="14"/>
        <v>0</v>
      </c>
      <c r="I140" s="469">
        <f t="shared" si="14"/>
        <v>0</v>
      </c>
      <c r="J140" s="469">
        <f t="shared" si="14"/>
        <v>0</v>
      </c>
      <c r="K140" s="469">
        <f t="shared" si="14"/>
        <v>0</v>
      </c>
      <c r="L140" s="469">
        <f t="shared" si="14"/>
        <v>0</v>
      </c>
      <c r="M140" s="469">
        <f t="shared" si="14"/>
        <v>0</v>
      </c>
      <c r="N140" s="469">
        <f t="shared" si="14"/>
        <v>0</v>
      </c>
      <c r="O140" s="469">
        <f t="shared" si="14"/>
        <v>0</v>
      </c>
      <c r="P140" s="469">
        <f t="shared" si="14"/>
        <v>0</v>
      </c>
      <c r="Q140" s="469">
        <f t="shared" si="14"/>
        <v>0</v>
      </c>
      <c r="R140" s="469">
        <f t="shared" si="14"/>
        <v>0</v>
      </c>
      <c r="S140" s="469">
        <f t="shared" si="14"/>
        <v>0</v>
      </c>
      <c r="T140" s="469">
        <f t="shared" si="14"/>
        <v>0</v>
      </c>
    </row>
    <row r="141" spans="1:20" ht="12.75">
      <c r="A141" s="423">
        <v>1</v>
      </c>
      <c r="B141" s="424" t="s">
        <v>1199</v>
      </c>
      <c r="C141" s="470">
        <f>('[4]Bieu 57'!D141)/1000000</f>
        <v>15742.22</v>
      </c>
      <c r="D141" s="470">
        <f>('[4]Bieu 57'!I141)/1000000</f>
        <v>15520.22</v>
      </c>
      <c r="E141" s="339">
        <f>D141</f>
        <v>15520.22</v>
      </c>
      <c r="F141" s="340"/>
      <c r="G141" s="340"/>
      <c r="H141" s="340"/>
      <c r="I141" s="340"/>
      <c r="J141" s="340"/>
      <c r="K141" s="340"/>
      <c r="L141" s="340"/>
      <c r="M141" s="340"/>
      <c r="N141" s="340"/>
      <c r="O141" s="340"/>
      <c r="P141" s="340"/>
      <c r="Q141" s="340"/>
      <c r="R141" s="340"/>
      <c r="S141" s="340"/>
      <c r="T141" s="340"/>
    </row>
    <row r="142" spans="1:20" ht="12.75">
      <c r="A142" s="423">
        <v>2</v>
      </c>
      <c r="B142" s="424" t="s">
        <v>433</v>
      </c>
      <c r="C142" s="470">
        <f>('[4]Bieu 57'!D142)/1000000</f>
        <v>6662</v>
      </c>
      <c r="D142" s="470">
        <f>('[4]Bieu 57'!I142)/1000000</f>
        <v>6548</v>
      </c>
      <c r="E142" s="339">
        <f aca="true" t="shared" si="15" ref="E142:E184">D142</f>
        <v>6548</v>
      </c>
      <c r="F142" s="340"/>
      <c r="G142" s="340"/>
      <c r="H142" s="340"/>
      <c r="I142" s="340"/>
      <c r="J142" s="340"/>
      <c r="K142" s="340"/>
      <c r="L142" s="340"/>
      <c r="M142" s="340"/>
      <c r="N142" s="340"/>
      <c r="O142" s="340"/>
      <c r="P142" s="340"/>
      <c r="Q142" s="340"/>
      <c r="R142" s="340"/>
      <c r="S142" s="340"/>
      <c r="T142" s="340"/>
    </row>
    <row r="143" spans="1:20" ht="12.75">
      <c r="A143" s="423">
        <v>3</v>
      </c>
      <c r="B143" s="424" t="s">
        <v>1200</v>
      </c>
      <c r="C143" s="470">
        <f>('[4]Bieu 57'!D143)/1000000</f>
        <v>3876.52</v>
      </c>
      <c r="D143" s="470">
        <f>('[4]Bieu 57'!I143)/1000000</f>
        <v>3874.629</v>
      </c>
      <c r="E143" s="339">
        <f t="shared" si="15"/>
        <v>3874.629</v>
      </c>
      <c r="F143" s="340"/>
      <c r="G143" s="340"/>
      <c r="H143" s="340"/>
      <c r="I143" s="340"/>
      <c r="J143" s="340"/>
      <c r="K143" s="340"/>
      <c r="L143" s="340"/>
      <c r="M143" s="340"/>
      <c r="N143" s="340"/>
      <c r="O143" s="340"/>
      <c r="P143" s="340"/>
      <c r="Q143" s="340"/>
      <c r="R143" s="340"/>
      <c r="S143" s="340"/>
      <c r="T143" s="340"/>
    </row>
    <row r="144" spans="1:20" ht="12.75">
      <c r="A144" s="423">
        <v>4</v>
      </c>
      <c r="B144" s="424" t="s">
        <v>1201</v>
      </c>
      <c r="C144" s="470">
        <f>('[4]Bieu 57'!D144)/1000000</f>
        <v>1225.784</v>
      </c>
      <c r="D144" s="470">
        <f>('[4]Bieu 57'!I144)/1000000</f>
        <v>1225.784</v>
      </c>
      <c r="E144" s="339">
        <f t="shared" si="15"/>
        <v>1225.784</v>
      </c>
      <c r="F144" s="340"/>
      <c r="G144" s="340"/>
      <c r="H144" s="340"/>
      <c r="I144" s="340"/>
      <c r="J144" s="340"/>
      <c r="K144" s="340"/>
      <c r="L144" s="340"/>
      <c r="M144" s="340"/>
      <c r="N144" s="340"/>
      <c r="O144" s="340"/>
      <c r="P144" s="340"/>
      <c r="Q144" s="340"/>
      <c r="R144" s="340"/>
      <c r="S144" s="340"/>
      <c r="T144" s="340"/>
    </row>
    <row r="145" spans="1:20" ht="12.75">
      <c r="A145" s="423">
        <v>5</v>
      </c>
      <c r="B145" s="424" t="s">
        <v>1202</v>
      </c>
      <c r="C145" s="470">
        <f>('[4]Bieu 57'!D145)/1000000</f>
        <v>5494.799635</v>
      </c>
      <c r="D145" s="470">
        <f>('[4]Bieu 57'!I145)/1000000</f>
        <v>5472.944374</v>
      </c>
      <c r="E145" s="339">
        <f t="shared" si="15"/>
        <v>5472.944374</v>
      </c>
      <c r="F145" s="340"/>
      <c r="G145" s="340"/>
      <c r="H145" s="340"/>
      <c r="I145" s="340"/>
      <c r="J145" s="340"/>
      <c r="K145" s="340"/>
      <c r="L145" s="340"/>
      <c r="M145" s="340"/>
      <c r="N145" s="340"/>
      <c r="O145" s="340"/>
      <c r="P145" s="340"/>
      <c r="Q145" s="340"/>
      <c r="R145" s="340"/>
      <c r="S145" s="340"/>
      <c r="T145" s="340"/>
    </row>
    <row r="146" spans="1:20" ht="12.75">
      <c r="A146" s="423">
        <v>6</v>
      </c>
      <c r="B146" s="424" t="s">
        <v>1287</v>
      </c>
      <c r="C146" s="470">
        <f>('[4]Bieu 57'!D146)/1000000</f>
        <v>7815</v>
      </c>
      <c r="D146" s="470">
        <f>('[4]Bieu 57'!I146)/1000000</f>
        <v>7815</v>
      </c>
      <c r="E146" s="339">
        <f t="shared" si="15"/>
        <v>7815</v>
      </c>
      <c r="F146" s="340"/>
      <c r="G146" s="340"/>
      <c r="H146" s="340"/>
      <c r="I146" s="340"/>
      <c r="J146" s="340"/>
      <c r="K146" s="340"/>
      <c r="L146" s="340"/>
      <c r="M146" s="340"/>
      <c r="N146" s="340"/>
      <c r="O146" s="340"/>
      <c r="P146" s="340"/>
      <c r="Q146" s="340"/>
      <c r="R146" s="340"/>
      <c r="S146" s="340"/>
      <c r="T146" s="340"/>
    </row>
    <row r="147" spans="1:20" ht="12.75">
      <c r="A147" s="423">
        <v>7</v>
      </c>
      <c r="B147" s="424" t="s">
        <v>1203</v>
      </c>
      <c r="C147" s="470">
        <f>('[4]Bieu 57'!D147)/1000000</f>
        <v>1610.422</v>
      </c>
      <c r="D147" s="470">
        <f>('[4]Bieu 57'!I147)/1000000</f>
        <v>1610.422</v>
      </c>
      <c r="E147" s="339">
        <f t="shared" si="15"/>
        <v>1610.422</v>
      </c>
      <c r="F147" s="340"/>
      <c r="G147" s="340"/>
      <c r="H147" s="340"/>
      <c r="I147" s="340"/>
      <c r="J147" s="340"/>
      <c r="K147" s="340"/>
      <c r="L147" s="340"/>
      <c r="M147" s="340"/>
      <c r="N147" s="340"/>
      <c r="O147" s="340"/>
      <c r="P147" s="340"/>
      <c r="Q147" s="340"/>
      <c r="R147" s="340"/>
      <c r="S147" s="340"/>
      <c r="T147" s="340"/>
    </row>
    <row r="148" spans="1:20" ht="12.75">
      <c r="A148" s="423">
        <v>8</v>
      </c>
      <c r="B148" s="424" t="s">
        <v>1204</v>
      </c>
      <c r="C148" s="470">
        <f>('[4]Bieu 57'!D148)/1000000</f>
        <v>3924.355</v>
      </c>
      <c r="D148" s="470">
        <f>('[4]Bieu 57'!I148)/1000000</f>
        <v>3923.9206</v>
      </c>
      <c r="E148" s="339">
        <f t="shared" si="15"/>
        <v>3923.9206</v>
      </c>
      <c r="F148" s="340"/>
      <c r="G148" s="340"/>
      <c r="H148" s="340"/>
      <c r="I148" s="340"/>
      <c r="J148" s="340"/>
      <c r="K148" s="340"/>
      <c r="L148" s="340"/>
      <c r="M148" s="340"/>
      <c r="N148" s="340"/>
      <c r="O148" s="340"/>
      <c r="P148" s="340"/>
      <c r="Q148" s="340"/>
      <c r="R148" s="340"/>
      <c r="S148" s="340"/>
      <c r="T148" s="340"/>
    </row>
    <row r="149" spans="1:20" ht="25.5">
      <c r="A149" s="423">
        <v>10</v>
      </c>
      <c r="B149" s="424" t="s">
        <v>1288</v>
      </c>
      <c r="C149" s="470">
        <f>('[4]Bieu 57'!D149)/1000000</f>
        <v>500</v>
      </c>
      <c r="D149" s="470">
        <f>('[4]Bieu 57'!I149)/1000000</f>
        <v>195.477</v>
      </c>
      <c r="E149" s="339">
        <f t="shared" si="15"/>
        <v>195.477</v>
      </c>
      <c r="F149" s="340"/>
      <c r="G149" s="340"/>
      <c r="H149" s="340"/>
      <c r="I149" s="340"/>
      <c r="J149" s="340"/>
      <c r="K149" s="340"/>
      <c r="L149" s="340"/>
      <c r="M149" s="340"/>
      <c r="N149" s="340"/>
      <c r="O149" s="340"/>
      <c r="P149" s="340"/>
      <c r="Q149" s="340"/>
      <c r="R149" s="340"/>
      <c r="S149" s="340"/>
      <c r="T149" s="340"/>
    </row>
    <row r="150" spans="1:20" ht="12.75">
      <c r="A150" s="423">
        <v>11</v>
      </c>
      <c r="B150" s="424" t="s">
        <v>1289</v>
      </c>
      <c r="C150" s="470">
        <f>('[4]Bieu 57'!D150)/1000000</f>
        <v>414.4</v>
      </c>
      <c r="D150" s="470">
        <f>('[4]Bieu 57'!I150)/1000000</f>
        <v>396.9</v>
      </c>
      <c r="E150" s="339">
        <f t="shared" si="15"/>
        <v>396.9</v>
      </c>
      <c r="F150" s="340"/>
      <c r="G150" s="340"/>
      <c r="H150" s="340"/>
      <c r="I150" s="340"/>
      <c r="J150" s="340"/>
      <c r="K150" s="340"/>
      <c r="L150" s="340"/>
      <c r="M150" s="340"/>
      <c r="N150" s="340"/>
      <c r="O150" s="340"/>
      <c r="P150" s="340"/>
      <c r="Q150" s="340"/>
      <c r="R150" s="340"/>
      <c r="S150" s="340"/>
      <c r="T150" s="340"/>
    </row>
    <row r="151" spans="1:20" ht="12.75">
      <c r="A151" s="423">
        <v>12</v>
      </c>
      <c r="B151" s="424" t="s">
        <v>1290</v>
      </c>
      <c r="C151" s="470">
        <f>('[4]Bieu 57'!D151)/1000000</f>
        <v>2195</v>
      </c>
      <c r="D151" s="470">
        <f>('[4]Bieu 57'!I151)/1000000</f>
        <v>2195</v>
      </c>
      <c r="E151" s="339">
        <f t="shared" si="15"/>
        <v>2195</v>
      </c>
      <c r="F151" s="340"/>
      <c r="G151" s="340"/>
      <c r="H151" s="340"/>
      <c r="I151" s="340"/>
      <c r="J151" s="340"/>
      <c r="K151" s="340"/>
      <c r="L151" s="340"/>
      <c r="M151" s="340"/>
      <c r="N151" s="340"/>
      <c r="O151" s="340"/>
      <c r="P151" s="340"/>
      <c r="Q151" s="340"/>
      <c r="R151" s="340"/>
      <c r="S151" s="340"/>
      <c r="T151" s="340"/>
    </row>
    <row r="152" spans="1:20" ht="25.5">
      <c r="A152" s="423">
        <v>13</v>
      </c>
      <c r="B152" s="424" t="s">
        <v>1291</v>
      </c>
      <c r="C152" s="470">
        <f>('[4]Bieu 57'!D152)/1000000</f>
        <v>898.765607</v>
      </c>
      <c r="D152" s="470">
        <f>('[4]Bieu 57'!I152)/1000000</f>
        <v>538.770654</v>
      </c>
      <c r="E152" s="339">
        <f t="shared" si="15"/>
        <v>538.770654</v>
      </c>
      <c r="F152" s="340"/>
      <c r="G152" s="340"/>
      <c r="H152" s="340"/>
      <c r="I152" s="340"/>
      <c r="J152" s="340"/>
      <c r="K152" s="340"/>
      <c r="L152" s="340"/>
      <c r="M152" s="340"/>
      <c r="N152" s="340"/>
      <c r="O152" s="340"/>
      <c r="P152" s="340"/>
      <c r="Q152" s="340"/>
      <c r="R152" s="340"/>
      <c r="S152" s="340"/>
      <c r="T152" s="340"/>
    </row>
    <row r="153" spans="1:20" ht="25.5">
      <c r="A153" s="423">
        <v>14</v>
      </c>
      <c r="B153" s="424" t="s">
        <v>1292</v>
      </c>
      <c r="C153" s="470">
        <f>('[4]Bieu 57'!D153)/1000000</f>
        <v>530</v>
      </c>
      <c r="D153" s="470">
        <f>('[4]Bieu 57'!I153)/1000000</f>
        <v>530</v>
      </c>
      <c r="E153" s="339">
        <f t="shared" si="15"/>
        <v>530</v>
      </c>
      <c r="F153" s="340"/>
      <c r="G153" s="340"/>
      <c r="H153" s="340"/>
      <c r="I153" s="340"/>
      <c r="J153" s="340"/>
      <c r="K153" s="340"/>
      <c r="L153" s="340"/>
      <c r="M153" s="340"/>
      <c r="N153" s="340"/>
      <c r="O153" s="340"/>
      <c r="P153" s="340"/>
      <c r="Q153" s="340"/>
      <c r="R153" s="340"/>
      <c r="S153" s="340"/>
      <c r="T153" s="340"/>
    </row>
    <row r="154" spans="1:20" s="422" customFormat="1" ht="12.75">
      <c r="A154" s="419">
        <v>15</v>
      </c>
      <c r="B154" s="420" t="s">
        <v>1293</v>
      </c>
      <c r="C154" s="469">
        <f>SUM(C155:C181)</f>
        <v>4781.92</v>
      </c>
      <c r="D154" s="469">
        <f aca="true" t="shared" si="16" ref="D154:T154">SUM(D155:D181)</f>
        <v>4603.803</v>
      </c>
      <c r="E154" s="469">
        <f t="shared" si="16"/>
        <v>4603.803</v>
      </c>
      <c r="F154" s="469">
        <f t="shared" si="16"/>
        <v>0</v>
      </c>
      <c r="G154" s="469">
        <f t="shared" si="16"/>
        <v>0</v>
      </c>
      <c r="H154" s="469">
        <f t="shared" si="16"/>
        <v>0</v>
      </c>
      <c r="I154" s="469">
        <f t="shared" si="16"/>
        <v>0</v>
      </c>
      <c r="J154" s="469">
        <f t="shared" si="16"/>
        <v>0</v>
      </c>
      <c r="K154" s="469">
        <f t="shared" si="16"/>
        <v>0</v>
      </c>
      <c r="L154" s="469">
        <f t="shared" si="16"/>
        <v>0</v>
      </c>
      <c r="M154" s="469">
        <f t="shared" si="16"/>
        <v>0</v>
      </c>
      <c r="N154" s="469">
        <f t="shared" si="16"/>
        <v>0</v>
      </c>
      <c r="O154" s="469">
        <f t="shared" si="16"/>
        <v>0</v>
      </c>
      <c r="P154" s="469">
        <f t="shared" si="16"/>
        <v>0</v>
      </c>
      <c r="Q154" s="469">
        <f t="shared" si="16"/>
        <v>0</v>
      </c>
      <c r="R154" s="469">
        <f t="shared" si="16"/>
        <v>0</v>
      </c>
      <c r="S154" s="469">
        <f t="shared" si="16"/>
        <v>0</v>
      </c>
      <c r="T154" s="469">
        <f t="shared" si="16"/>
        <v>0</v>
      </c>
    </row>
    <row r="155" spans="1:20" ht="12.75">
      <c r="A155" s="423"/>
      <c r="B155" s="425" t="s">
        <v>1294</v>
      </c>
      <c r="C155" s="470">
        <f>('[4]Bieu 57'!D155)/1000000</f>
        <v>62.32</v>
      </c>
      <c r="D155" s="470">
        <f>('[4]Bieu 57'!I155)/1000000</f>
        <v>62.32</v>
      </c>
      <c r="E155" s="339">
        <f t="shared" si="15"/>
        <v>62.32</v>
      </c>
      <c r="F155" s="340"/>
      <c r="G155" s="340"/>
      <c r="H155" s="340"/>
      <c r="I155" s="340"/>
      <c r="J155" s="340"/>
      <c r="K155" s="340"/>
      <c r="L155" s="340"/>
      <c r="M155" s="340"/>
      <c r="N155" s="340"/>
      <c r="O155" s="340"/>
      <c r="P155" s="340"/>
      <c r="Q155" s="340"/>
      <c r="R155" s="340"/>
      <c r="S155" s="340"/>
      <c r="T155" s="340"/>
    </row>
    <row r="156" spans="1:20" ht="12.75">
      <c r="A156" s="423"/>
      <c r="B156" s="425" t="s">
        <v>333</v>
      </c>
      <c r="C156" s="470">
        <f>('[4]Bieu 57'!D156)/1000000</f>
        <v>1074.79</v>
      </c>
      <c r="D156" s="470">
        <f>('[4]Bieu 57'!I156)/1000000</f>
        <v>1040.751</v>
      </c>
      <c r="E156" s="339">
        <f t="shared" si="15"/>
        <v>1040.751</v>
      </c>
      <c r="F156" s="340"/>
      <c r="G156" s="340"/>
      <c r="H156" s="340"/>
      <c r="I156" s="340"/>
      <c r="J156" s="340"/>
      <c r="K156" s="340"/>
      <c r="L156" s="340"/>
      <c r="M156" s="340"/>
      <c r="N156" s="340"/>
      <c r="O156" s="340"/>
      <c r="P156" s="340"/>
      <c r="Q156" s="340"/>
      <c r="R156" s="340"/>
      <c r="S156" s="340"/>
      <c r="T156" s="340"/>
    </row>
    <row r="157" spans="1:20" ht="12.75">
      <c r="A157" s="423"/>
      <c r="B157" s="425" t="s">
        <v>391</v>
      </c>
      <c r="C157" s="470">
        <f>('[4]Bieu 57'!D157)/1000000</f>
        <v>238.5</v>
      </c>
      <c r="D157" s="470">
        <f>('[4]Bieu 57'!I157)/1000000</f>
        <v>238.5</v>
      </c>
      <c r="E157" s="339">
        <f t="shared" si="15"/>
        <v>238.5</v>
      </c>
      <c r="F157" s="340"/>
      <c r="G157" s="340"/>
      <c r="H157" s="340"/>
      <c r="I157" s="340"/>
      <c r="J157" s="340"/>
      <c r="K157" s="340"/>
      <c r="L157" s="340"/>
      <c r="M157" s="340"/>
      <c r="N157" s="340"/>
      <c r="O157" s="340"/>
      <c r="P157" s="340"/>
      <c r="Q157" s="340"/>
      <c r="R157" s="340"/>
      <c r="S157" s="340"/>
      <c r="T157" s="340"/>
    </row>
    <row r="158" spans="1:20" ht="12.75">
      <c r="A158" s="423"/>
      <c r="B158" s="425" t="s">
        <v>1295</v>
      </c>
      <c r="C158" s="470">
        <f>('[4]Bieu 57'!D158)/1000000</f>
        <v>124.6</v>
      </c>
      <c r="D158" s="470">
        <f>('[4]Bieu 57'!I158)/1000000</f>
        <v>124.6</v>
      </c>
      <c r="E158" s="339">
        <f t="shared" si="15"/>
        <v>124.6</v>
      </c>
      <c r="F158" s="340"/>
      <c r="G158" s="340"/>
      <c r="H158" s="340"/>
      <c r="I158" s="340"/>
      <c r="J158" s="340"/>
      <c r="K158" s="340"/>
      <c r="L158" s="340"/>
      <c r="M158" s="340"/>
      <c r="N158" s="340"/>
      <c r="O158" s="340"/>
      <c r="P158" s="340"/>
      <c r="Q158" s="340"/>
      <c r="R158" s="340"/>
      <c r="S158" s="340"/>
      <c r="T158" s="340"/>
    </row>
    <row r="159" spans="1:20" ht="12.75">
      <c r="A159" s="423"/>
      <c r="B159" s="425" t="s">
        <v>335</v>
      </c>
      <c r="C159" s="470">
        <f>('[4]Bieu 57'!D159)/1000000</f>
        <v>126.1</v>
      </c>
      <c r="D159" s="470">
        <f>('[4]Bieu 57'!I159)/1000000</f>
        <v>74.642</v>
      </c>
      <c r="E159" s="339">
        <f t="shared" si="15"/>
        <v>74.642</v>
      </c>
      <c r="F159" s="340"/>
      <c r="G159" s="340"/>
      <c r="H159" s="340"/>
      <c r="I159" s="340"/>
      <c r="J159" s="340"/>
      <c r="K159" s="340"/>
      <c r="L159" s="340"/>
      <c r="M159" s="340"/>
      <c r="N159" s="340"/>
      <c r="O159" s="340"/>
      <c r="P159" s="340"/>
      <c r="Q159" s="340"/>
      <c r="R159" s="340"/>
      <c r="S159" s="340"/>
      <c r="T159" s="340"/>
    </row>
    <row r="160" spans="1:20" ht="12.75">
      <c r="A160" s="423"/>
      <c r="B160" s="425" t="s">
        <v>394</v>
      </c>
      <c r="C160" s="470">
        <f>('[4]Bieu 57'!D160)/1000000</f>
        <v>349.785</v>
      </c>
      <c r="D160" s="470">
        <f>('[4]Bieu 57'!I160)/1000000</f>
        <v>349.785</v>
      </c>
      <c r="E160" s="339">
        <f t="shared" si="15"/>
        <v>349.785</v>
      </c>
      <c r="F160" s="340"/>
      <c r="G160" s="340"/>
      <c r="H160" s="340"/>
      <c r="I160" s="340"/>
      <c r="J160" s="340"/>
      <c r="K160" s="340"/>
      <c r="L160" s="340"/>
      <c r="M160" s="340"/>
      <c r="N160" s="340"/>
      <c r="O160" s="340"/>
      <c r="P160" s="340"/>
      <c r="Q160" s="340"/>
      <c r="R160" s="340"/>
      <c r="S160" s="340"/>
      <c r="T160" s="340"/>
    </row>
    <row r="161" spans="1:20" ht="12.75">
      <c r="A161" s="423"/>
      <c r="B161" s="425" t="s">
        <v>366</v>
      </c>
      <c r="C161" s="470">
        <f>('[4]Bieu 57'!D161)/1000000</f>
        <v>211.88</v>
      </c>
      <c r="D161" s="470">
        <f>('[4]Bieu 57'!I161)/1000000</f>
        <v>211.88</v>
      </c>
      <c r="E161" s="339">
        <f t="shared" si="15"/>
        <v>211.88</v>
      </c>
      <c r="F161" s="340"/>
      <c r="G161" s="340"/>
      <c r="H161" s="340"/>
      <c r="I161" s="340"/>
      <c r="J161" s="340"/>
      <c r="K161" s="340"/>
      <c r="L161" s="340"/>
      <c r="M161" s="340"/>
      <c r="N161" s="340"/>
      <c r="O161" s="340"/>
      <c r="P161" s="340"/>
      <c r="Q161" s="340"/>
      <c r="R161" s="340"/>
      <c r="S161" s="340"/>
      <c r="T161" s="340"/>
    </row>
    <row r="162" spans="1:20" ht="12.75">
      <c r="A162" s="423"/>
      <c r="B162" s="425" t="s">
        <v>1296</v>
      </c>
      <c r="C162" s="470">
        <f>('[4]Bieu 57'!D162)/1000000</f>
        <v>665.58</v>
      </c>
      <c r="D162" s="470">
        <f>('[4]Bieu 57'!I162)/1000000</f>
        <v>665.58</v>
      </c>
      <c r="E162" s="339">
        <f t="shared" si="15"/>
        <v>665.58</v>
      </c>
      <c r="F162" s="340"/>
      <c r="G162" s="340"/>
      <c r="H162" s="340"/>
      <c r="I162" s="340"/>
      <c r="J162" s="340"/>
      <c r="K162" s="340"/>
      <c r="L162" s="340"/>
      <c r="M162" s="340"/>
      <c r="N162" s="340"/>
      <c r="O162" s="340"/>
      <c r="P162" s="340"/>
      <c r="Q162" s="340"/>
      <c r="R162" s="340"/>
      <c r="S162" s="340"/>
      <c r="T162" s="340"/>
    </row>
    <row r="163" spans="1:20" ht="25.5">
      <c r="A163" s="423"/>
      <c r="B163" s="425" t="s">
        <v>1297</v>
      </c>
      <c r="C163" s="470">
        <f>('[4]Bieu 57'!D163)/1000000</f>
        <v>21.2</v>
      </c>
      <c r="D163" s="470">
        <f>('[4]Bieu 57'!I163)/1000000</f>
        <v>21.2</v>
      </c>
      <c r="E163" s="339">
        <f t="shared" si="15"/>
        <v>21.2</v>
      </c>
      <c r="F163" s="340"/>
      <c r="G163" s="340"/>
      <c r="H163" s="340"/>
      <c r="I163" s="340"/>
      <c r="J163" s="340"/>
      <c r="K163" s="340"/>
      <c r="L163" s="340"/>
      <c r="M163" s="340"/>
      <c r="N163" s="340"/>
      <c r="O163" s="340"/>
      <c r="P163" s="340"/>
      <c r="Q163" s="340"/>
      <c r="R163" s="340"/>
      <c r="S163" s="340"/>
      <c r="T163" s="340"/>
    </row>
    <row r="164" spans="1:20" ht="25.5">
      <c r="A164" s="423"/>
      <c r="B164" s="425" t="s">
        <v>1298</v>
      </c>
      <c r="C164" s="470">
        <f>('[4]Bieu 57'!D164)/1000000</f>
        <v>25.725</v>
      </c>
      <c r="D164" s="470">
        <f>('[4]Bieu 57'!I164)/1000000</f>
        <v>23.86</v>
      </c>
      <c r="E164" s="339">
        <f t="shared" si="15"/>
        <v>23.86</v>
      </c>
      <c r="F164" s="340"/>
      <c r="G164" s="340"/>
      <c r="H164" s="340"/>
      <c r="I164" s="340"/>
      <c r="J164" s="340"/>
      <c r="K164" s="340"/>
      <c r="L164" s="340"/>
      <c r="M164" s="340"/>
      <c r="N164" s="340"/>
      <c r="O164" s="340"/>
      <c r="P164" s="340"/>
      <c r="Q164" s="340"/>
      <c r="R164" s="340"/>
      <c r="S164" s="340"/>
      <c r="T164" s="340"/>
    </row>
    <row r="165" spans="1:20" ht="12.75">
      <c r="A165" s="423"/>
      <c r="B165" s="425" t="s">
        <v>427</v>
      </c>
      <c r="C165" s="470">
        <f>('[4]Bieu 57'!D165)/1000000</f>
        <v>104.8</v>
      </c>
      <c r="D165" s="470">
        <f>('[4]Bieu 57'!I165)/1000000</f>
        <v>104.8</v>
      </c>
      <c r="E165" s="339">
        <f t="shared" si="15"/>
        <v>104.8</v>
      </c>
      <c r="F165" s="340"/>
      <c r="G165" s="340"/>
      <c r="H165" s="340"/>
      <c r="I165" s="340"/>
      <c r="J165" s="340"/>
      <c r="K165" s="340"/>
      <c r="L165" s="340"/>
      <c r="M165" s="340"/>
      <c r="N165" s="340"/>
      <c r="O165" s="340"/>
      <c r="P165" s="340"/>
      <c r="Q165" s="340"/>
      <c r="R165" s="340"/>
      <c r="S165" s="340"/>
      <c r="T165" s="340"/>
    </row>
    <row r="166" spans="1:20" ht="12.75">
      <c r="A166" s="423"/>
      <c r="B166" s="425" t="s">
        <v>1299</v>
      </c>
      <c r="C166" s="470">
        <f>('[4]Bieu 57'!D166)/1000000</f>
        <v>127.54</v>
      </c>
      <c r="D166" s="470">
        <f>('[4]Bieu 57'!I166)/1000000</f>
        <v>127.54</v>
      </c>
      <c r="E166" s="339">
        <f t="shared" si="15"/>
        <v>127.54</v>
      </c>
      <c r="F166" s="340"/>
      <c r="G166" s="340"/>
      <c r="H166" s="340"/>
      <c r="I166" s="340"/>
      <c r="J166" s="340"/>
      <c r="K166" s="340"/>
      <c r="L166" s="340"/>
      <c r="M166" s="340"/>
      <c r="N166" s="340"/>
      <c r="O166" s="340"/>
      <c r="P166" s="340"/>
      <c r="Q166" s="340"/>
      <c r="R166" s="340"/>
      <c r="S166" s="340"/>
      <c r="T166" s="340"/>
    </row>
    <row r="167" spans="1:20" ht="12.75">
      <c r="A167" s="423"/>
      <c r="B167" s="425" t="s">
        <v>1300</v>
      </c>
      <c r="C167" s="470">
        <f>('[4]Bieu 57'!D167)/1000000</f>
        <v>150.5</v>
      </c>
      <c r="D167" s="470">
        <f>('[4]Bieu 57'!I167)/1000000</f>
        <v>150.5</v>
      </c>
      <c r="E167" s="339">
        <f t="shared" si="15"/>
        <v>150.5</v>
      </c>
      <c r="F167" s="340"/>
      <c r="G167" s="340"/>
      <c r="H167" s="340"/>
      <c r="I167" s="340"/>
      <c r="J167" s="340"/>
      <c r="K167" s="340"/>
      <c r="L167" s="340"/>
      <c r="M167" s="340"/>
      <c r="N167" s="340"/>
      <c r="O167" s="340"/>
      <c r="P167" s="340"/>
      <c r="Q167" s="340"/>
      <c r="R167" s="340"/>
      <c r="S167" s="340"/>
      <c r="T167" s="340"/>
    </row>
    <row r="168" spans="1:20" ht="12.75">
      <c r="A168" s="423"/>
      <c r="B168" s="425" t="s">
        <v>433</v>
      </c>
      <c r="C168" s="470">
        <f>('[4]Bieu 57'!D168)/1000000</f>
        <v>108</v>
      </c>
      <c r="D168" s="470">
        <f>('[4]Bieu 57'!I168)/1000000</f>
        <v>108</v>
      </c>
      <c r="E168" s="339">
        <f t="shared" si="15"/>
        <v>108</v>
      </c>
      <c r="F168" s="340"/>
      <c r="G168" s="340"/>
      <c r="H168" s="340"/>
      <c r="I168" s="340"/>
      <c r="J168" s="340"/>
      <c r="K168" s="340"/>
      <c r="L168" s="340"/>
      <c r="M168" s="340"/>
      <c r="N168" s="340"/>
      <c r="O168" s="340"/>
      <c r="P168" s="340"/>
      <c r="Q168" s="340"/>
      <c r="R168" s="340"/>
      <c r="S168" s="340"/>
      <c r="T168" s="340"/>
    </row>
    <row r="169" spans="1:20" ht="12.75">
      <c r="A169" s="423"/>
      <c r="B169" s="425" t="s">
        <v>1242</v>
      </c>
      <c r="C169" s="470">
        <f>('[4]Bieu 57'!D169)/1000000</f>
        <v>174</v>
      </c>
      <c r="D169" s="470">
        <f>('[4]Bieu 57'!I169)/1000000</f>
        <v>174</v>
      </c>
      <c r="E169" s="339">
        <f t="shared" si="15"/>
        <v>174</v>
      </c>
      <c r="F169" s="340"/>
      <c r="G169" s="340"/>
      <c r="H169" s="340"/>
      <c r="I169" s="340"/>
      <c r="J169" s="340"/>
      <c r="K169" s="340"/>
      <c r="L169" s="340"/>
      <c r="M169" s="340"/>
      <c r="N169" s="340"/>
      <c r="O169" s="340"/>
      <c r="P169" s="340"/>
      <c r="Q169" s="340"/>
      <c r="R169" s="340"/>
      <c r="S169" s="340"/>
      <c r="T169" s="340"/>
    </row>
    <row r="170" spans="1:20" ht="12.75">
      <c r="A170" s="423"/>
      <c r="B170" s="438" t="s">
        <v>1301</v>
      </c>
      <c r="C170" s="470">
        <f>('[4]Bieu 57'!D170)/1000000</f>
        <v>97.18</v>
      </c>
      <c r="D170" s="470">
        <f>('[4]Bieu 57'!I170)/1000000</f>
        <v>97.18</v>
      </c>
      <c r="E170" s="339">
        <f t="shared" si="15"/>
        <v>97.18</v>
      </c>
      <c r="F170" s="340"/>
      <c r="G170" s="340"/>
      <c r="H170" s="340"/>
      <c r="I170" s="340"/>
      <c r="J170" s="340"/>
      <c r="K170" s="340"/>
      <c r="L170" s="340"/>
      <c r="M170" s="340"/>
      <c r="N170" s="340"/>
      <c r="O170" s="340"/>
      <c r="P170" s="340"/>
      <c r="Q170" s="340"/>
      <c r="R170" s="340"/>
      <c r="S170" s="340"/>
      <c r="T170" s="340"/>
    </row>
    <row r="171" spans="1:20" ht="25.5">
      <c r="A171" s="423"/>
      <c r="B171" s="425" t="s">
        <v>1302</v>
      </c>
      <c r="C171" s="470">
        <f>('[4]Bieu 57'!D171)/1000000</f>
        <v>123</v>
      </c>
      <c r="D171" s="470">
        <f>('[4]Bieu 57'!I171)/1000000</f>
        <v>123</v>
      </c>
      <c r="E171" s="339">
        <f t="shared" si="15"/>
        <v>123</v>
      </c>
      <c r="F171" s="340"/>
      <c r="G171" s="340"/>
      <c r="H171" s="340"/>
      <c r="I171" s="340"/>
      <c r="J171" s="340"/>
      <c r="K171" s="340"/>
      <c r="L171" s="340"/>
      <c r="M171" s="340"/>
      <c r="N171" s="340"/>
      <c r="O171" s="340"/>
      <c r="P171" s="340"/>
      <c r="Q171" s="340"/>
      <c r="R171" s="340"/>
      <c r="S171" s="340"/>
      <c r="T171" s="340"/>
    </row>
    <row r="172" spans="1:20" ht="12.75">
      <c r="A172" s="423"/>
      <c r="B172" s="425" t="s">
        <v>1303</v>
      </c>
      <c r="C172" s="470">
        <f>('[4]Bieu 57'!D172)/1000000</f>
        <v>134.5</v>
      </c>
      <c r="D172" s="470">
        <f>('[4]Bieu 57'!I172)/1000000</f>
        <v>125.535</v>
      </c>
      <c r="E172" s="339">
        <f t="shared" si="15"/>
        <v>125.535</v>
      </c>
      <c r="F172" s="340"/>
      <c r="G172" s="340"/>
      <c r="H172" s="340"/>
      <c r="I172" s="340"/>
      <c r="J172" s="340"/>
      <c r="K172" s="340"/>
      <c r="L172" s="340"/>
      <c r="M172" s="340"/>
      <c r="N172" s="340"/>
      <c r="O172" s="340"/>
      <c r="P172" s="340"/>
      <c r="Q172" s="340"/>
      <c r="R172" s="340"/>
      <c r="S172" s="340"/>
      <c r="T172" s="340"/>
    </row>
    <row r="173" spans="1:20" ht="12.75">
      <c r="A173" s="423"/>
      <c r="B173" s="425" t="s">
        <v>1304</v>
      </c>
      <c r="C173" s="470">
        <f>('[4]Bieu 57'!D173)/1000000</f>
        <v>84</v>
      </c>
      <c r="D173" s="470">
        <f>('[4]Bieu 57'!I173)/1000000</f>
        <v>84</v>
      </c>
      <c r="E173" s="339">
        <f t="shared" si="15"/>
        <v>84</v>
      </c>
      <c r="F173" s="340"/>
      <c r="G173" s="340"/>
      <c r="H173" s="340"/>
      <c r="I173" s="340"/>
      <c r="J173" s="340"/>
      <c r="K173" s="340"/>
      <c r="L173" s="340"/>
      <c r="M173" s="340"/>
      <c r="N173" s="340"/>
      <c r="O173" s="340"/>
      <c r="P173" s="340"/>
      <c r="Q173" s="340"/>
      <c r="R173" s="340"/>
      <c r="S173" s="340"/>
      <c r="T173" s="340"/>
    </row>
    <row r="174" spans="1:20" ht="12.75">
      <c r="A174" s="423"/>
      <c r="B174" s="425" t="s">
        <v>1305</v>
      </c>
      <c r="C174" s="470">
        <f>('[4]Bieu 57'!D174)/1000000</f>
        <v>62</v>
      </c>
      <c r="D174" s="470">
        <f>('[4]Bieu 57'!I174)/1000000</f>
        <v>45.07</v>
      </c>
      <c r="E174" s="339">
        <f t="shared" si="15"/>
        <v>45.07</v>
      </c>
      <c r="F174" s="340"/>
      <c r="G174" s="340"/>
      <c r="H174" s="340"/>
      <c r="I174" s="340"/>
      <c r="J174" s="340"/>
      <c r="K174" s="340"/>
      <c r="L174" s="340"/>
      <c r="M174" s="340"/>
      <c r="N174" s="340"/>
      <c r="O174" s="340"/>
      <c r="P174" s="340"/>
      <c r="Q174" s="340"/>
      <c r="R174" s="340"/>
      <c r="S174" s="340"/>
      <c r="T174" s="340"/>
    </row>
    <row r="175" spans="1:20" ht="12.75">
      <c r="A175" s="423"/>
      <c r="B175" s="425" t="s">
        <v>1306</v>
      </c>
      <c r="C175" s="470">
        <f>('[4]Bieu 57'!D175)/1000000</f>
        <v>128</v>
      </c>
      <c r="D175" s="470">
        <f>('[4]Bieu 57'!I175)/1000000</f>
        <v>127.4</v>
      </c>
      <c r="E175" s="339">
        <f t="shared" si="15"/>
        <v>127.4</v>
      </c>
      <c r="F175" s="340"/>
      <c r="G175" s="340"/>
      <c r="H175" s="340"/>
      <c r="I175" s="340"/>
      <c r="J175" s="340"/>
      <c r="K175" s="340"/>
      <c r="L175" s="340"/>
      <c r="M175" s="340"/>
      <c r="N175" s="340"/>
      <c r="O175" s="340"/>
      <c r="P175" s="340"/>
      <c r="Q175" s="340"/>
      <c r="R175" s="340"/>
      <c r="S175" s="340"/>
      <c r="T175" s="340"/>
    </row>
    <row r="176" spans="1:20" ht="12.75">
      <c r="A176" s="423"/>
      <c r="B176" s="425" t="s">
        <v>1307</v>
      </c>
      <c r="C176" s="470">
        <f>('[4]Bieu 57'!D176)/1000000</f>
        <v>126</v>
      </c>
      <c r="D176" s="470">
        <f>('[4]Bieu 57'!I176)/1000000</f>
        <v>125.04</v>
      </c>
      <c r="E176" s="339">
        <f t="shared" si="15"/>
        <v>125.04</v>
      </c>
      <c r="F176" s="340"/>
      <c r="G176" s="340"/>
      <c r="H176" s="340"/>
      <c r="I176" s="340"/>
      <c r="J176" s="340"/>
      <c r="K176" s="340"/>
      <c r="L176" s="340"/>
      <c r="M176" s="340"/>
      <c r="N176" s="340"/>
      <c r="O176" s="340"/>
      <c r="P176" s="340"/>
      <c r="Q176" s="340"/>
      <c r="R176" s="340"/>
      <c r="S176" s="340"/>
      <c r="T176" s="340"/>
    </row>
    <row r="177" spans="1:20" ht="12.75">
      <c r="A177" s="423"/>
      <c r="B177" s="425" t="s">
        <v>1308</v>
      </c>
      <c r="C177" s="470">
        <f>('[4]Bieu 57'!D177)/1000000</f>
        <v>36.5</v>
      </c>
      <c r="D177" s="470">
        <f>('[4]Bieu 57'!I177)/1000000</f>
        <v>36.5</v>
      </c>
      <c r="E177" s="339">
        <f t="shared" si="15"/>
        <v>36.5</v>
      </c>
      <c r="F177" s="340"/>
      <c r="G177" s="340"/>
      <c r="H177" s="340"/>
      <c r="I177" s="340"/>
      <c r="J177" s="340"/>
      <c r="K177" s="340"/>
      <c r="L177" s="340"/>
      <c r="M177" s="340"/>
      <c r="N177" s="340"/>
      <c r="O177" s="340"/>
      <c r="P177" s="340"/>
      <c r="Q177" s="340"/>
      <c r="R177" s="340"/>
      <c r="S177" s="340"/>
      <c r="T177" s="340"/>
    </row>
    <row r="178" spans="1:20" ht="12.75">
      <c r="A178" s="423"/>
      <c r="B178" s="425" t="s">
        <v>1309</v>
      </c>
      <c r="C178" s="470">
        <f>('[4]Bieu 57'!D178)/1000000</f>
        <v>133</v>
      </c>
      <c r="D178" s="470">
        <f>('[4]Bieu 57'!I178)/1000000</f>
        <v>131.2</v>
      </c>
      <c r="E178" s="339">
        <f t="shared" si="15"/>
        <v>131.2</v>
      </c>
      <c r="F178" s="340"/>
      <c r="G178" s="340"/>
      <c r="H178" s="340"/>
      <c r="I178" s="340"/>
      <c r="J178" s="340"/>
      <c r="K178" s="340"/>
      <c r="L178" s="340"/>
      <c r="M178" s="340"/>
      <c r="N178" s="340"/>
      <c r="O178" s="340"/>
      <c r="P178" s="340"/>
      <c r="Q178" s="340"/>
      <c r="R178" s="340"/>
      <c r="S178" s="340"/>
      <c r="T178" s="340"/>
    </row>
    <row r="179" spans="1:20" ht="12.75">
      <c r="A179" s="423"/>
      <c r="B179" s="425" t="s">
        <v>1310</v>
      </c>
      <c r="C179" s="470">
        <f>('[4]Bieu 57'!D179)/1000000</f>
        <v>61.5</v>
      </c>
      <c r="D179" s="470">
        <f>('[4]Bieu 57'!I179)/1000000</f>
        <v>0</v>
      </c>
      <c r="E179" s="339">
        <f t="shared" si="15"/>
        <v>0</v>
      </c>
      <c r="F179" s="340"/>
      <c r="G179" s="340"/>
      <c r="H179" s="340"/>
      <c r="I179" s="340"/>
      <c r="J179" s="340"/>
      <c r="K179" s="340"/>
      <c r="L179" s="340"/>
      <c r="M179" s="340"/>
      <c r="N179" s="340"/>
      <c r="O179" s="340"/>
      <c r="P179" s="340"/>
      <c r="Q179" s="340"/>
      <c r="R179" s="340"/>
      <c r="S179" s="340"/>
      <c r="T179" s="340"/>
    </row>
    <row r="180" spans="1:20" ht="12.75">
      <c r="A180" s="423"/>
      <c r="B180" s="425" t="s">
        <v>1311</v>
      </c>
      <c r="C180" s="470">
        <f>('[4]Bieu 57'!D180)/1000000</f>
        <v>91.12</v>
      </c>
      <c r="D180" s="470">
        <f>('[4]Bieu 57'!I180)/1000000</f>
        <v>91.12</v>
      </c>
      <c r="E180" s="339">
        <f t="shared" si="15"/>
        <v>91.12</v>
      </c>
      <c r="F180" s="340"/>
      <c r="G180" s="340"/>
      <c r="H180" s="340"/>
      <c r="I180" s="340"/>
      <c r="J180" s="340"/>
      <c r="K180" s="340"/>
      <c r="L180" s="340"/>
      <c r="M180" s="340"/>
      <c r="N180" s="340"/>
      <c r="O180" s="340"/>
      <c r="P180" s="340"/>
      <c r="Q180" s="340"/>
      <c r="R180" s="340"/>
      <c r="S180" s="340"/>
      <c r="T180" s="340"/>
    </row>
    <row r="181" spans="1:20" ht="12.75">
      <c r="A181" s="423"/>
      <c r="B181" s="438" t="s">
        <v>1312</v>
      </c>
      <c r="C181" s="470">
        <f>('[4]Bieu 57'!D181)/1000000</f>
        <v>139.8</v>
      </c>
      <c r="D181" s="470">
        <f>('[4]Bieu 57'!I181)/1000000</f>
        <v>139.8</v>
      </c>
      <c r="E181" s="339">
        <f t="shared" si="15"/>
        <v>139.8</v>
      </c>
      <c r="F181" s="340"/>
      <c r="G181" s="340"/>
      <c r="H181" s="340"/>
      <c r="I181" s="340"/>
      <c r="J181" s="340"/>
      <c r="K181" s="340"/>
      <c r="L181" s="340"/>
      <c r="M181" s="340"/>
      <c r="N181" s="340"/>
      <c r="O181" s="340"/>
      <c r="P181" s="340"/>
      <c r="Q181" s="340"/>
      <c r="R181" s="340"/>
      <c r="S181" s="340"/>
      <c r="T181" s="340"/>
    </row>
    <row r="182" spans="1:20" s="422" customFormat="1" ht="25.5">
      <c r="A182" s="419">
        <v>16</v>
      </c>
      <c r="B182" s="420" t="s">
        <v>1313</v>
      </c>
      <c r="C182" s="469">
        <f>SUM(C183:C184)</f>
        <v>503.763</v>
      </c>
      <c r="D182" s="469">
        <f aca="true" t="shared" si="17" ref="D182:T182">SUM(D183:D184)</f>
        <v>503.763</v>
      </c>
      <c r="E182" s="469">
        <f t="shared" si="17"/>
        <v>503.763</v>
      </c>
      <c r="F182" s="469">
        <f t="shared" si="17"/>
        <v>0</v>
      </c>
      <c r="G182" s="469">
        <f t="shared" si="17"/>
        <v>0</v>
      </c>
      <c r="H182" s="469">
        <f t="shared" si="17"/>
        <v>0</v>
      </c>
      <c r="I182" s="469">
        <f t="shared" si="17"/>
        <v>0</v>
      </c>
      <c r="J182" s="469">
        <f t="shared" si="17"/>
        <v>0</v>
      </c>
      <c r="K182" s="469">
        <f t="shared" si="17"/>
        <v>0</v>
      </c>
      <c r="L182" s="469">
        <f t="shared" si="17"/>
        <v>0</v>
      </c>
      <c r="M182" s="469">
        <f t="shared" si="17"/>
        <v>0</v>
      </c>
      <c r="N182" s="469">
        <f t="shared" si="17"/>
        <v>0</v>
      </c>
      <c r="O182" s="469">
        <f t="shared" si="17"/>
        <v>0</v>
      </c>
      <c r="P182" s="469">
        <f t="shared" si="17"/>
        <v>0</v>
      </c>
      <c r="Q182" s="469">
        <f t="shared" si="17"/>
        <v>0</v>
      </c>
      <c r="R182" s="469">
        <f t="shared" si="17"/>
        <v>0</v>
      </c>
      <c r="S182" s="469">
        <f t="shared" si="17"/>
        <v>0</v>
      </c>
      <c r="T182" s="469">
        <f t="shared" si="17"/>
        <v>0</v>
      </c>
    </row>
    <row r="183" spans="1:20" ht="12.75">
      <c r="A183" s="423"/>
      <c r="B183" s="425" t="s">
        <v>1311</v>
      </c>
      <c r="C183" s="472">
        <f>'[4]Bieu 57'!D183</f>
        <v>0</v>
      </c>
      <c r="D183" s="339">
        <f>'[4]Bieu 57'!I183</f>
        <v>0</v>
      </c>
      <c r="E183" s="339">
        <f t="shared" si="15"/>
        <v>0</v>
      </c>
      <c r="F183" s="340"/>
      <c r="G183" s="340"/>
      <c r="H183" s="340"/>
      <c r="I183" s="340"/>
      <c r="J183" s="340"/>
      <c r="K183" s="340"/>
      <c r="L183" s="340"/>
      <c r="M183" s="340"/>
      <c r="N183" s="340"/>
      <c r="O183" s="340"/>
      <c r="P183" s="340"/>
      <c r="Q183" s="340"/>
      <c r="R183" s="340"/>
      <c r="S183" s="340"/>
      <c r="T183" s="340"/>
    </row>
    <row r="184" spans="1:20" ht="12.75">
      <c r="A184" s="423"/>
      <c r="B184" s="425" t="s">
        <v>333</v>
      </c>
      <c r="C184" s="470">
        <f>('[4]Bieu 57'!D184)/1000000</f>
        <v>503.763</v>
      </c>
      <c r="D184" s="470">
        <f>('[4]Bieu 57'!I184)/1000000</f>
        <v>503.763</v>
      </c>
      <c r="E184" s="339">
        <f t="shared" si="15"/>
        <v>503.763</v>
      </c>
      <c r="F184" s="340"/>
      <c r="G184" s="340"/>
      <c r="H184" s="340"/>
      <c r="I184" s="340"/>
      <c r="J184" s="340"/>
      <c r="K184" s="340"/>
      <c r="L184" s="340"/>
      <c r="M184" s="340"/>
      <c r="N184" s="340"/>
      <c r="O184" s="340"/>
      <c r="P184" s="340"/>
      <c r="Q184" s="340"/>
      <c r="R184" s="340"/>
      <c r="S184" s="340"/>
      <c r="T184" s="340"/>
    </row>
    <row r="185" spans="1:20" s="422" customFormat="1" ht="12.75">
      <c r="A185" s="427" t="s">
        <v>11</v>
      </c>
      <c r="B185" s="364" t="s">
        <v>1314</v>
      </c>
      <c r="C185" s="469">
        <f>SUM(C186:C195)</f>
        <v>24402.046348000003</v>
      </c>
      <c r="D185" s="469">
        <f aca="true" t="shared" si="18" ref="D185:T185">SUM(D186:D195)</f>
        <v>16595.839</v>
      </c>
      <c r="E185" s="469">
        <f t="shared" si="18"/>
        <v>0</v>
      </c>
      <c r="F185" s="469">
        <f t="shared" si="18"/>
        <v>16595.839</v>
      </c>
      <c r="G185" s="469">
        <f t="shared" si="18"/>
        <v>0</v>
      </c>
      <c r="H185" s="469">
        <f t="shared" si="18"/>
        <v>0</v>
      </c>
      <c r="I185" s="469">
        <f t="shared" si="18"/>
        <v>0</v>
      </c>
      <c r="J185" s="469">
        <f t="shared" si="18"/>
        <v>0</v>
      </c>
      <c r="K185" s="469">
        <f t="shared" si="18"/>
        <v>0</v>
      </c>
      <c r="L185" s="469">
        <f t="shared" si="18"/>
        <v>0</v>
      </c>
      <c r="M185" s="469">
        <f t="shared" si="18"/>
        <v>0</v>
      </c>
      <c r="N185" s="469">
        <f t="shared" si="18"/>
        <v>0</v>
      </c>
      <c r="O185" s="469">
        <f t="shared" si="18"/>
        <v>0</v>
      </c>
      <c r="P185" s="469">
        <f t="shared" si="18"/>
        <v>0</v>
      </c>
      <c r="Q185" s="469">
        <f t="shared" si="18"/>
        <v>0</v>
      </c>
      <c r="R185" s="469">
        <f t="shared" si="18"/>
        <v>0</v>
      </c>
      <c r="S185" s="469">
        <f t="shared" si="18"/>
        <v>0</v>
      </c>
      <c r="T185" s="469">
        <f t="shared" si="18"/>
        <v>0</v>
      </c>
    </row>
    <row r="186" spans="1:20" ht="12.75">
      <c r="A186" s="423"/>
      <c r="B186" s="430" t="s">
        <v>1315</v>
      </c>
      <c r="C186" s="470">
        <f>('[4]Bieu 57'!D186)/1000000</f>
        <v>3082</v>
      </c>
      <c r="D186" s="470">
        <f>('[4]Bieu 57'!I186)/1000000</f>
        <v>3082</v>
      </c>
      <c r="E186" s="340"/>
      <c r="F186" s="339">
        <f>D186</f>
        <v>3082</v>
      </c>
      <c r="G186" s="340"/>
      <c r="H186" s="340"/>
      <c r="I186" s="340"/>
      <c r="J186" s="340"/>
      <c r="K186" s="340"/>
      <c r="L186" s="340"/>
      <c r="M186" s="340"/>
      <c r="N186" s="340"/>
      <c r="O186" s="340"/>
      <c r="P186" s="340"/>
      <c r="Q186" s="340"/>
      <c r="R186" s="340"/>
      <c r="S186" s="340"/>
      <c r="T186" s="340"/>
    </row>
    <row r="187" spans="1:20" ht="12.75">
      <c r="A187" s="423"/>
      <c r="B187" s="430" t="s">
        <v>1316</v>
      </c>
      <c r="C187" s="470">
        <f>('[4]Bieu 57'!D187)/1000000</f>
        <v>9928.894348</v>
      </c>
      <c r="D187" s="470">
        <f>('[4]Bieu 57'!I187)/1000000</f>
        <v>6450.187</v>
      </c>
      <c r="E187" s="340"/>
      <c r="F187" s="339">
        <f aca="true" t="shared" si="19" ref="F187:F195">D187</f>
        <v>6450.187</v>
      </c>
      <c r="G187" s="340"/>
      <c r="H187" s="340"/>
      <c r="I187" s="340"/>
      <c r="J187" s="340"/>
      <c r="K187" s="340"/>
      <c r="L187" s="340"/>
      <c r="M187" s="340"/>
      <c r="N187" s="340"/>
      <c r="O187" s="340"/>
      <c r="P187" s="340"/>
      <c r="Q187" s="340"/>
      <c r="R187" s="340"/>
      <c r="S187" s="340"/>
      <c r="T187" s="340"/>
    </row>
    <row r="188" spans="1:20" ht="12.75">
      <c r="A188" s="423"/>
      <c r="B188" s="430" t="s">
        <v>1317</v>
      </c>
      <c r="C188" s="470">
        <f>('[4]Bieu 57'!D188)/1000000</f>
        <v>4175</v>
      </c>
      <c r="D188" s="470">
        <f>('[4]Bieu 57'!I188)/1000000</f>
        <v>0</v>
      </c>
      <c r="E188" s="340"/>
      <c r="F188" s="339">
        <f t="shared" si="19"/>
        <v>0</v>
      </c>
      <c r="G188" s="340"/>
      <c r="H188" s="340"/>
      <c r="I188" s="340"/>
      <c r="J188" s="340"/>
      <c r="K188" s="340"/>
      <c r="L188" s="340"/>
      <c r="M188" s="340"/>
      <c r="N188" s="340"/>
      <c r="O188" s="340"/>
      <c r="P188" s="340"/>
      <c r="Q188" s="340"/>
      <c r="R188" s="340"/>
      <c r="S188" s="340"/>
      <c r="T188" s="340"/>
    </row>
    <row r="189" spans="1:20" ht="25.5">
      <c r="A189" s="423"/>
      <c r="B189" s="430" t="s">
        <v>1318</v>
      </c>
      <c r="C189" s="470">
        <f>('[4]Bieu 57'!D189)/1000000</f>
        <v>845</v>
      </c>
      <c r="D189" s="470">
        <f>('[4]Bieu 57'!I189)/1000000</f>
        <v>845</v>
      </c>
      <c r="E189" s="340"/>
      <c r="F189" s="339">
        <f t="shared" si="19"/>
        <v>845</v>
      </c>
      <c r="G189" s="340"/>
      <c r="H189" s="340"/>
      <c r="I189" s="340"/>
      <c r="J189" s="340"/>
      <c r="K189" s="340"/>
      <c r="L189" s="340"/>
      <c r="M189" s="340"/>
      <c r="N189" s="340"/>
      <c r="O189" s="340"/>
      <c r="P189" s="340"/>
      <c r="Q189" s="340"/>
      <c r="R189" s="340"/>
      <c r="S189" s="340"/>
      <c r="T189" s="340"/>
    </row>
    <row r="190" spans="1:20" ht="12.75">
      <c r="A190" s="423"/>
      <c r="B190" s="430" t="s">
        <v>1319</v>
      </c>
      <c r="C190" s="470">
        <f>('[4]Bieu 57'!D190)/1000000</f>
        <v>1049.5</v>
      </c>
      <c r="D190" s="470">
        <f>('[4]Bieu 57'!I190)/1000000</f>
        <v>1049.5</v>
      </c>
      <c r="E190" s="340"/>
      <c r="F190" s="339">
        <f t="shared" si="19"/>
        <v>1049.5</v>
      </c>
      <c r="G190" s="340"/>
      <c r="H190" s="340"/>
      <c r="I190" s="340"/>
      <c r="J190" s="340"/>
      <c r="K190" s="340"/>
      <c r="L190" s="340"/>
      <c r="M190" s="340"/>
      <c r="N190" s="340"/>
      <c r="O190" s="340"/>
      <c r="P190" s="340"/>
      <c r="Q190" s="340"/>
      <c r="R190" s="340"/>
      <c r="S190" s="340"/>
      <c r="T190" s="340"/>
    </row>
    <row r="191" spans="1:20" ht="25.5">
      <c r="A191" s="423"/>
      <c r="B191" s="438" t="s">
        <v>1320</v>
      </c>
      <c r="C191" s="470">
        <f>('[4]Bieu 57'!D191)/1000000</f>
        <v>1747.9</v>
      </c>
      <c r="D191" s="470">
        <f>('[4]Bieu 57'!I191)/1000000</f>
        <v>1747.9</v>
      </c>
      <c r="E191" s="340"/>
      <c r="F191" s="339">
        <f t="shared" si="19"/>
        <v>1747.9</v>
      </c>
      <c r="G191" s="340"/>
      <c r="H191" s="340"/>
      <c r="I191" s="340"/>
      <c r="J191" s="340"/>
      <c r="K191" s="340"/>
      <c r="L191" s="340"/>
      <c r="M191" s="340"/>
      <c r="N191" s="340"/>
      <c r="O191" s="340"/>
      <c r="P191" s="340"/>
      <c r="Q191" s="340"/>
      <c r="R191" s="340"/>
      <c r="S191" s="340"/>
      <c r="T191" s="340"/>
    </row>
    <row r="192" spans="1:20" ht="12.75">
      <c r="A192" s="423"/>
      <c r="B192" s="438" t="s">
        <v>1321</v>
      </c>
      <c r="C192" s="470">
        <f>('[4]Bieu 57'!D192)/1000000</f>
        <v>2693.252</v>
      </c>
      <c r="D192" s="470">
        <f>('[4]Bieu 57'!I192)/1000000</f>
        <v>2693.252</v>
      </c>
      <c r="E192" s="340"/>
      <c r="F192" s="339">
        <f t="shared" si="19"/>
        <v>2693.252</v>
      </c>
      <c r="G192" s="340"/>
      <c r="H192" s="340"/>
      <c r="I192" s="340"/>
      <c r="J192" s="340"/>
      <c r="K192" s="340"/>
      <c r="L192" s="340"/>
      <c r="M192" s="340"/>
      <c r="N192" s="340"/>
      <c r="O192" s="340"/>
      <c r="P192" s="340"/>
      <c r="Q192" s="340"/>
      <c r="R192" s="340"/>
      <c r="S192" s="340"/>
      <c r="T192" s="340"/>
    </row>
    <row r="193" spans="1:20" ht="12.75">
      <c r="A193" s="423"/>
      <c r="B193" s="438" t="s">
        <v>1322</v>
      </c>
      <c r="C193" s="470">
        <f>('[4]Bieu 57'!D193)/1000000</f>
        <v>180</v>
      </c>
      <c r="D193" s="470">
        <f>('[4]Bieu 57'!I193)/1000000</f>
        <v>180</v>
      </c>
      <c r="E193" s="340"/>
      <c r="F193" s="339">
        <f t="shared" si="19"/>
        <v>180</v>
      </c>
      <c r="G193" s="340"/>
      <c r="H193" s="340"/>
      <c r="I193" s="340"/>
      <c r="J193" s="340"/>
      <c r="K193" s="340"/>
      <c r="L193" s="340"/>
      <c r="M193" s="340"/>
      <c r="N193" s="340"/>
      <c r="O193" s="340"/>
      <c r="P193" s="340"/>
      <c r="Q193" s="340"/>
      <c r="R193" s="340"/>
      <c r="S193" s="340"/>
      <c r="T193" s="340"/>
    </row>
    <row r="194" spans="1:20" ht="12.75">
      <c r="A194" s="423"/>
      <c r="B194" s="425" t="s">
        <v>1323</v>
      </c>
      <c r="C194" s="470">
        <f>('[4]Bieu 57'!D194)/1000000</f>
        <v>548</v>
      </c>
      <c r="D194" s="470">
        <f>('[4]Bieu 57'!I194)/1000000</f>
        <v>548</v>
      </c>
      <c r="E194" s="340"/>
      <c r="F194" s="339">
        <f t="shared" si="19"/>
        <v>548</v>
      </c>
      <c r="G194" s="340"/>
      <c r="H194" s="340"/>
      <c r="I194" s="340"/>
      <c r="J194" s="340"/>
      <c r="K194" s="340"/>
      <c r="L194" s="340"/>
      <c r="M194" s="340"/>
      <c r="N194" s="340"/>
      <c r="O194" s="340"/>
      <c r="P194" s="340"/>
      <c r="Q194" s="340"/>
      <c r="R194" s="340"/>
      <c r="S194" s="340"/>
      <c r="T194" s="340"/>
    </row>
    <row r="195" spans="1:20" ht="12.75">
      <c r="A195" s="423"/>
      <c r="B195" s="425" t="s">
        <v>1324</v>
      </c>
      <c r="C195" s="470">
        <f>('[4]Bieu 57'!D195)/1000000</f>
        <v>152.5</v>
      </c>
      <c r="D195" s="339">
        <f>'[4]Bieu 57'!I195</f>
        <v>0</v>
      </c>
      <c r="E195" s="340"/>
      <c r="F195" s="339">
        <f t="shared" si="19"/>
        <v>0</v>
      </c>
      <c r="G195" s="340"/>
      <c r="H195" s="340"/>
      <c r="I195" s="340"/>
      <c r="J195" s="340"/>
      <c r="K195" s="340"/>
      <c r="L195" s="340"/>
      <c r="M195" s="340"/>
      <c r="N195" s="340"/>
      <c r="O195" s="340"/>
      <c r="P195" s="340"/>
      <c r="Q195" s="340"/>
      <c r="R195" s="340"/>
      <c r="S195" s="340"/>
      <c r="T195" s="340"/>
    </row>
    <row r="196" spans="1:20" s="422" customFormat="1" ht="12.75">
      <c r="A196" s="427" t="s">
        <v>12</v>
      </c>
      <c r="B196" s="364" t="s">
        <v>1325</v>
      </c>
      <c r="C196" s="469">
        <f>C197+C225+C245+C254+C256+C257+C259</f>
        <v>265563.297839</v>
      </c>
      <c r="D196" s="469">
        <f>D197+D225+D245+D254+D256+D257+D259</f>
        <v>219145.98280300002</v>
      </c>
      <c r="E196" s="469">
        <f aca="true" t="shared" si="20" ref="E196:T196">E197+E225+E245+E254+E256+E257+E259</f>
        <v>0</v>
      </c>
      <c r="F196" s="469">
        <f t="shared" si="20"/>
        <v>0</v>
      </c>
      <c r="G196" s="469">
        <f t="shared" si="20"/>
        <v>0</v>
      </c>
      <c r="H196" s="469">
        <f t="shared" si="20"/>
        <v>0</v>
      </c>
      <c r="I196" s="469">
        <f t="shared" si="20"/>
        <v>219145.98280300002</v>
      </c>
      <c r="J196" s="469">
        <f t="shared" si="20"/>
        <v>0</v>
      </c>
      <c r="K196" s="469">
        <f t="shared" si="20"/>
        <v>0</v>
      </c>
      <c r="L196" s="469">
        <f t="shared" si="20"/>
        <v>0</v>
      </c>
      <c r="M196" s="469">
        <f t="shared" si="20"/>
        <v>0</v>
      </c>
      <c r="N196" s="469">
        <f t="shared" si="20"/>
        <v>0</v>
      </c>
      <c r="O196" s="469">
        <f t="shared" si="20"/>
        <v>0</v>
      </c>
      <c r="P196" s="469">
        <f t="shared" si="20"/>
        <v>0</v>
      </c>
      <c r="Q196" s="469">
        <f t="shared" si="20"/>
        <v>0</v>
      </c>
      <c r="R196" s="469">
        <f t="shared" si="20"/>
        <v>0</v>
      </c>
      <c r="S196" s="469">
        <f t="shared" si="20"/>
        <v>0</v>
      </c>
      <c r="T196" s="469">
        <f t="shared" si="20"/>
        <v>0</v>
      </c>
    </row>
    <row r="197" spans="1:20" s="422" customFormat="1" ht="12.75">
      <c r="A197" s="439">
        <v>1</v>
      </c>
      <c r="B197" s="440" t="s">
        <v>1326</v>
      </c>
      <c r="C197" s="473">
        <f>SUM(C198:C224)</f>
        <v>210063.64783900004</v>
      </c>
      <c r="D197" s="473">
        <f aca="true" t="shared" si="21" ref="D197:T197">SUM(D198:D224)</f>
        <v>186477.39220300002</v>
      </c>
      <c r="E197" s="473">
        <f t="shared" si="21"/>
        <v>0</v>
      </c>
      <c r="F197" s="473">
        <f t="shared" si="21"/>
        <v>0</v>
      </c>
      <c r="G197" s="473">
        <f t="shared" si="21"/>
        <v>0</v>
      </c>
      <c r="H197" s="473">
        <f t="shared" si="21"/>
        <v>0</v>
      </c>
      <c r="I197" s="473">
        <f t="shared" si="21"/>
        <v>186477.39220300002</v>
      </c>
      <c r="J197" s="473">
        <f t="shared" si="21"/>
        <v>0</v>
      </c>
      <c r="K197" s="473">
        <f t="shared" si="21"/>
        <v>0</v>
      </c>
      <c r="L197" s="473">
        <f t="shared" si="21"/>
        <v>0</v>
      </c>
      <c r="M197" s="473">
        <f t="shared" si="21"/>
        <v>0</v>
      </c>
      <c r="N197" s="473">
        <f t="shared" si="21"/>
        <v>0</v>
      </c>
      <c r="O197" s="473">
        <f t="shared" si="21"/>
        <v>0</v>
      </c>
      <c r="P197" s="473">
        <f t="shared" si="21"/>
        <v>0</v>
      </c>
      <c r="Q197" s="473">
        <f t="shared" si="21"/>
        <v>0</v>
      </c>
      <c r="R197" s="473">
        <f t="shared" si="21"/>
        <v>0</v>
      </c>
      <c r="S197" s="473">
        <f t="shared" si="21"/>
        <v>0</v>
      </c>
      <c r="T197" s="473">
        <f t="shared" si="21"/>
        <v>0</v>
      </c>
    </row>
    <row r="198" spans="1:20" ht="12.75">
      <c r="A198" s="423"/>
      <c r="B198" s="430" t="s">
        <v>1327</v>
      </c>
      <c r="C198" s="470">
        <f>('[4]Bieu 57'!D198)/1000000</f>
        <v>12315.94</v>
      </c>
      <c r="D198" s="470">
        <f>('[4]Bieu 57'!I198)/1000000</f>
        <v>11501.9505</v>
      </c>
      <c r="E198" s="468"/>
      <c r="F198" s="468"/>
      <c r="G198" s="468"/>
      <c r="H198" s="468"/>
      <c r="I198" s="339">
        <f>D198</f>
        <v>11501.9505</v>
      </c>
      <c r="J198" s="468"/>
      <c r="K198" s="468"/>
      <c r="L198" s="468"/>
      <c r="M198" s="468"/>
      <c r="N198" s="468"/>
      <c r="O198" s="468"/>
      <c r="P198" s="468"/>
      <c r="Q198" s="468"/>
      <c r="R198" s="468"/>
      <c r="S198" s="468"/>
      <c r="T198" s="468"/>
    </row>
    <row r="199" spans="1:20" ht="25.5">
      <c r="A199" s="423"/>
      <c r="B199" s="428" t="s">
        <v>1328</v>
      </c>
      <c r="C199" s="470">
        <f>('[4]Bieu 57'!D199)/1000000</f>
        <v>169.589</v>
      </c>
      <c r="D199" s="470">
        <f>('[4]Bieu 57'!I199)/1000000</f>
        <v>169.589</v>
      </c>
      <c r="E199" s="468"/>
      <c r="F199" s="468"/>
      <c r="G199" s="468"/>
      <c r="H199" s="468"/>
      <c r="I199" s="339">
        <f aca="true" t="shared" si="22" ref="I199:I224">D199</f>
        <v>169.589</v>
      </c>
      <c r="J199" s="468"/>
      <c r="K199" s="468"/>
      <c r="L199" s="468"/>
      <c r="M199" s="468"/>
      <c r="N199" s="468"/>
      <c r="O199" s="468"/>
      <c r="P199" s="468"/>
      <c r="Q199" s="468"/>
      <c r="R199" s="468"/>
      <c r="S199" s="468"/>
      <c r="T199" s="468"/>
    </row>
    <row r="200" spans="1:20" ht="12.75">
      <c r="A200" s="423"/>
      <c r="B200" s="441" t="s">
        <v>1329</v>
      </c>
      <c r="C200" s="470">
        <f>('[4]Bieu 57'!D200)/1000000</f>
        <v>11686</v>
      </c>
      <c r="D200" s="470">
        <f>('[4]Bieu 57'!I200)/1000000</f>
        <v>6584</v>
      </c>
      <c r="E200" s="468"/>
      <c r="F200" s="468"/>
      <c r="G200" s="468"/>
      <c r="H200" s="468"/>
      <c r="I200" s="339">
        <f t="shared" si="22"/>
        <v>6584</v>
      </c>
      <c r="J200" s="468"/>
      <c r="K200" s="468"/>
      <c r="L200" s="468"/>
      <c r="M200" s="468"/>
      <c r="N200" s="468"/>
      <c r="O200" s="468"/>
      <c r="P200" s="468"/>
      <c r="Q200" s="468"/>
      <c r="R200" s="468"/>
      <c r="S200" s="468"/>
      <c r="T200" s="468"/>
    </row>
    <row r="201" spans="1:20" ht="12.75">
      <c r="A201" s="423"/>
      <c r="B201" s="441" t="s">
        <v>1330</v>
      </c>
      <c r="C201" s="470">
        <f>('[4]Bieu 57'!D201)/1000000</f>
        <v>5091.353124</v>
      </c>
      <c r="D201" s="470">
        <f>('[4]Bieu 57'!I201)/1000000</f>
        <v>3011.353124</v>
      </c>
      <c r="E201" s="468"/>
      <c r="F201" s="468"/>
      <c r="G201" s="468"/>
      <c r="H201" s="468"/>
      <c r="I201" s="339">
        <f t="shared" si="22"/>
        <v>3011.353124</v>
      </c>
      <c r="J201" s="468"/>
      <c r="K201" s="468"/>
      <c r="L201" s="468"/>
      <c r="M201" s="468"/>
      <c r="N201" s="468"/>
      <c r="O201" s="468"/>
      <c r="P201" s="468"/>
      <c r="Q201" s="468"/>
      <c r="R201" s="468"/>
      <c r="S201" s="468"/>
      <c r="T201" s="468"/>
    </row>
    <row r="202" spans="1:20" ht="12.75">
      <c r="A202" s="423"/>
      <c r="B202" s="441" t="s">
        <v>1211</v>
      </c>
      <c r="C202" s="470">
        <f>('[4]Bieu 57'!D202)/1000000</f>
        <v>2989.523387</v>
      </c>
      <c r="D202" s="470">
        <f>('[4]Bieu 57'!I202)/1000000</f>
        <v>2666.523387</v>
      </c>
      <c r="E202" s="468"/>
      <c r="F202" s="468"/>
      <c r="G202" s="468"/>
      <c r="H202" s="468"/>
      <c r="I202" s="339">
        <f t="shared" si="22"/>
        <v>2666.523387</v>
      </c>
      <c r="J202" s="468"/>
      <c r="K202" s="468"/>
      <c r="L202" s="468"/>
      <c r="M202" s="468"/>
      <c r="N202" s="468"/>
      <c r="O202" s="468"/>
      <c r="P202" s="468"/>
      <c r="Q202" s="468"/>
      <c r="R202" s="468"/>
      <c r="S202" s="468"/>
      <c r="T202" s="468"/>
    </row>
    <row r="203" spans="1:20" ht="12.75">
      <c r="A203" s="423"/>
      <c r="B203" s="441" t="s">
        <v>1331</v>
      </c>
      <c r="C203" s="470">
        <f>('[4]Bieu 57'!D203)/1000000</f>
        <v>4470</v>
      </c>
      <c r="D203" s="470">
        <f>('[4]Bieu 57'!I203)/1000000</f>
        <v>4200</v>
      </c>
      <c r="E203" s="468"/>
      <c r="F203" s="468"/>
      <c r="G203" s="468"/>
      <c r="H203" s="468"/>
      <c r="I203" s="339">
        <f t="shared" si="22"/>
        <v>4200</v>
      </c>
      <c r="J203" s="468"/>
      <c r="K203" s="468"/>
      <c r="L203" s="468"/>
      <c r="M203" s="468"/>
      <c r="N203" s="468"/>
      <c r="O203" s="468"/>
      <c r="P203" s="468"/>
      <c r="Q203" s="468"/>
      <c r="R203" s="468"/>
      <c r="S203" s="468"/>
      <c r="T203" s="468"/>
    </row>
    <row r="204" spans="1:20" ht="12.75">
      <c r="A204" s="423"/>
      <c r="B204" s="441" t="s">
        <v>1213</v>
      </c>
      <c r="C204" s="470">
        <f>('[4]Bieu 57'!D204)/1000000</f>
        <v>2018</v>
      </c>
      <c r="D204" s="470">
        <f>('[4]Bieu 57'!I204)/1000000</f>
        <v>1906</v>
      </c>
      <c r="E204" s="468"/>
      <c r="F204" s="468"/>
      <c r="G204" s="468"/>
      <c r="H204" s="468"/>
      <c r="I204" s="339">
        <f t="shared" si="22"/>
        <v>1906</v>
      </c>
      <c r="J204" s="468"/>
      <c r="K204" s="468"/>
      <c r="L204" s="468"/>
      <c r="M204" s="468"/>
      <c r="N204" s="468"/>
      <c r="O204" s="468"/>
      <c r="P204" s="468"/>
      <c r="Q204" s="468"/>
      <c r="R204" s="468"/>
      <c r="S204" s="468"/>
      <c r="T204" s="468"/>
    </row>
    <row r="205" spans="1:20" ht="12.75">
      <c r="A205" s="423"/>
      <c r="B205" s="442" t="s">
        <v>1332</v>
      </c>
      <c r="C205" s="470">
        <f>('[4]Bieu 57'!D205)/1000000</f>
        <v>20321.887583</v>
      </c>
      <c r="D205" s="470">
        <f>('[4]Bieu 57'!I205)/1000000</f>
        <v>17571.728389</v>
      </c>
      <c r="E205" s="468"/>
      <c r="F205" s="468"/>
      <c r="G205" s="468"/>
      <c r="H205" s="468"/>
      <c r="I205" s="339">
        <f t="shared" si="22"/>
        <v>17571.728389</v>
      </c>
      <c r="J205" s="468"/>
      <c r="K205" s="468"/>
      <c r="L205" s="468"/>
      <c r="M205" s="468"/>
      <c r="N205" s="468"/>
      <c r="O205" s="468"/>
      <c r="P205" s="468"/>
      <c r="Q205" s="468"/>
      <c r="R205" s="468"/>
      <c r="S205" s="468"/>
      <c r="T205" s="468"/>
    </row>
    <row r="206" spans="1:20" ht="12.75">
      <c r="A206" s="423"/>
      <c r="B206" s="443" t="s">
        <v>1333</v>
      </c>
      <c r="C206" s="470">
        <f>('[4]Bieu 57'!D206)/1000000</f>
        <v>16934.57062</v>
      </c>
      <c r="D206" s="470">
        <f>('[4]Bieu 57'!I206)/1000000</f>
        <v>14947.41574</v>
      </c>
      <c r="E206" s="468"/>
      <c r="F206" s="468"/>
      <c r="G206" s="468"/>
      <c r="H206" s="468"/>
      <c r="I206" s="339">
        <f t="shared" si="22"/>
        <v>14947.41574</v>
      </c>
      <c r="J206" s="468"/>
      <c r="K206" s="468"/>
      <c r="L206" s="468"/>
      <c r="M206" s="468"/>
      <c r="N206" s="468"/>
      <c r="O206" s="468"/>
      <c r="P206" s="468"/>
      <c r="Q206" s="468"/>
      <c r="R206" s="468"/>
      <c r="S206" s="468"/>
      <c r="T206" s="468"/>
    </row>
    <row r="207" spans="1:20" ht="12.75">
      <c r="A207" s="423"/>
      <c r="B207" s="442" t="s">
        <v>1334</v>
      </c>
      <c r="C207" s="470">
        <f>('[4]Bieu 57'!D207)/1000000</f>
        <v>25630.549232</v>
      </c>
      <c r="D207" s="470">
        <f>('[4]Bieu 57'!I207)/1000000</f>
        <v>22254.780567</v>
      </c>
      <c r="E207" s="468"/>
      <c r="F207" s="468"/>
      <c r="G207" s="468"/>
      <c r="H207" s="468"/>
      <c r="I207" s="339">
        <f t="shared" si="22"/>
        <v>22254.780567</v>
      </c>
      <c r="J207" s="468"/>
      <c r="K207" s="468"/>
      <c r="L207" s="468"/>
      <c r="M207" s="468"/>
      <c r="N207" s="468"/>
      <c r="O207" s="468"/>
      <c r="P207" s="468"/>
      <c r="Q207" s="468"/>
      <c r="R207" s="468"/>
      <c r="S207" s="468"/>
      <c r="T207" s="468"/>
    </row>
    <row r="208" spans="1:20" ht="12.75">
      <c r="A208" s="423"/>
      <c r="B208" s="442" t="s">
        <v>1335</v>
      </c>
      <c r="C208" s="470">
        <f>('[4]Bieu 57'!D208)/1000000</f>
        <v>14884.892</v>
      </c>
      <c r="D208" s="470">
        <f>('[4]Bieu 57'!I208)/1000000</f>
        <v>13685.664925</v>
      </c>
      <c r="E208" s="468"/>
      <c r="F208" s="468"/>
      <c r="G208" s="468"/>
      <c r="H208" s="468"/>
      <c r="I208" s="339">
        <f t="shared" si="22"/>
        <v>13685.664925</v>
      </c>
      <c r="J208" s="468"/>
      <c r="K208" s="468"/>
      <c r="L208" s="468"/>
      <c r="M208" s="468"/>
      <c r="N208" s="468"/>
      <c r="O208" s="468"/>
      <c r="P208" s="468"/>
      <c r="Q208" s="468"/>
      <c r="R208" s="468"/>
      <c r="S208" s="468"/>
      <c r="T208" s="468"/>
    </row>
    <row r="209" spans="1:20" ht="12.75">
      <c r="A209" s="423"/>
      <c r="B209" s="442" t="s">
        <v>1336</v>
      </c>
      <c r="C209" s="470">
        <f>('[4]Bieu 57'!D209)/1000000</f>
        <v>10712.429</v>
      </c>
      <c r="D209" s="470">
        <f>('[4]Bieu 57'!I209)/1000000</f>
        <v>9690.660975</v>
      </c>
      <c r="E209" s="468"/>
      <c r="F209" s="468"/>
      <c r="G209" s="468"/>
      <c r="H209" s="468"/>
      <c r="I209" s="339">
        <f t="shared" si="22"/>
        <v>9690.660975</v>
      </c>
      <c r="J209" s="468"/>
      <c r="K209" s="468"/>
      <c r="L209" s="468"/>
      <c r="M209" s="468"/>
      <c r="N209" s="468"/>
      <c r="O209" s="468"/>
      <c r="P209" s="468"/>
      <c r="Q209" s="468"/>
      <c r="R209" s="468"/>
      <c r="S209" s="468"/>
      <c r="T209" s="468"/>
    </row>
    <row r="210" spans="1:20" ht="12.75">
      <c r="A210" s="423"/>
      <c r="B210" s="442" t="s">
        <v>1337</v>
      </c>
      <c r="C210" s="470">
        <f>('[4]Bieu 57'!D210)/1000000</f>
        <v>16724.617695</v>
      </c>
      <c r="D210" s="470">
        <f>('[4]Bieu 57'!I210)/1000000</f>
        <v>15525.055763</v>
      </c>
      <c r="E210" s="468"/>
      <c r="F210" s="468"/>
      <c r="G210" s="468"/>
      <c r="H210" s="468"/>
      <c r="I210" s="339">
        <f t="shared" si="22"/>
        <v>15525.055763</v>
      </c>
      <c r="J210" s="468"/>
      <c r="K210" s="468"/>
      <c r="L210" s="468"/>
      <c r="M210" s="468"/>
      <c r="N210" s="468"/>
      <c r="O210" s="468"/>
      <c r="P210" s="468"/>
      <c r="Q210" s="468"/>
      <c r="R210" s="468"/>
      <c r="S210" s="468"/>
      <c r="T210" s="468"/>
    </row>
    <row r="211" spans="1:20" ht="12.75">
      <c r="A211" s="423"/>
      <c r="B211" s="443" t="s">
        <v>1338</v>
      </c>
      <c r="C211" s="470">
        <f>('[4]Bieu 57'!D211)/1000000</f>
        <v>16505.664698</v>
      </c>
      <c r="D211" s="470">
        <f>('[4]Bieu 57'!I211)/1000000</f>
        <v>15435.664698</v>
      </c>
      <c r="E211" s="468"/>
      <c r="F211" s="468"/>
      <c r="G211" s="468"/>
      <c r="H211" s="468"/>
      <c r="I211" s="339">
        <f t="shared" si="22"/>
        <v>15435.664698</v>
      </c>
      <c r="J211" s="468"/>
      <c r="K211" s="468"/>
      <c r="L211" s="468"/>
      <c r="M211" s="468"/>
      <c r="N211" s="468"/>
      <c r="O211" s="468"/>
      <c r="P211" s="468"/>
      <c r="Q211" s="468"/>
      <c r="R211" s="468"/>
      <c r="S211" s="468"/>
      <c r="T211" s="468"/>
    </row>
    <row r="212" spans="1:20" ht="12.75">
      <c r="A212" s="423"/>
      <c r="B212" s="442" t="s">
        <v>1339</v>
      </c>
      <c r="C212" s="470">
        <f>('[4]Bieu 57'!D212)/1000000</f>
        <v>11225.0955</v>
      </c>
      <c r="D212" s="470">
        <f>('[4]Bieu 57'!I212)/1000000</f>
        <v>9674.304</v>
      </c>
      <c r="E212" s="468"/>
      <c r="F212" s="468"/>
      <c r="G212" s="468"/>
      <c r="H212" s="468"/>
      <c r="I212" s="339">
        <f t="shared" si="22"/>
        <v>9674.304</v>
      </c>
      <c r="J212" s="468"/>
      <c r="K212" s="468"/>
      <c r="L212" s="468"/>
      <c r="M212" s="468"/>
      <c r="N212" s="468"/>
      <c r="O212" s="468"/>
      <c r="P212" s="468"/>
      <c r="Q212" s="468"/>
      <c r="R212" s="468"/>
      <c r="S212" s="468"/>
      <c r="T212" s="468"/>
    </row>
    <row r="213" spans="1:20" ht="12.75">
      <c r="A213" s="423"/>
      <c r="B213" s="442" t="s">
        <v>1340</v>
      </c>
      <c r="C213" s="470">
        <f>('[4]Bieu 57'!D213)/1000000</f>
        <v>7759.98</v>
      </c>
      <c r="D213" s="470">
        <f>('[4]Bieu 57'!I213)/1000000</f>
        <v>7466.494544</v>
      </c>
      <c r="E213" s="468"/>
      <c r="F213" s="468"/>
      <c r="G213" s="468"/>
      <c r="H213" s="468"/>
      <c r="I213" s="339">
        <f t="shared" si="22"/>
        <v>7466.494544</v>
      </c>
      <c r="J213" s="468"/>
      <c r="K213" s="468"/>
      <c r="L213" s="468"/>
      <c r="M213" s="468"/>
      <c r="N213" s="468"/>
      <c r="O213" s="468"/>
      <c r="P213" s="468"/>
      <c r="Q213" s="468"/>
      <c r="R213" s="468"/>
      <c r="S213" s="468"/>
      <c r="T213" s="468"/>
    </row>
    <row r="214" spans="1:20" ht="12.75">
      <c r="A214" s="423"/>
      <c r="B214" s="442" t="s">
        <v>1341</v>
      </c>
      <c r="C214" s="470">
        <f>('[4]Bieu 57'!D214)/1000000</f>
        <v>522.386</v>
      </c>
      <c r="D214" s="470">
        <f>('[4]Bieu 57'!I214)/1000000</f>
        <v>469.736</v>
      </c>
      <c r="E214" s="468"/>
      <c r="F214" s="468"/>
      <c r="G214" s="468"/>
      <c r="H214" s="468"/>
      <c r="I214" s="339">
        <f t="shared" si="22"/>
        <v>469.736</v>
      </c>
      <c r="J214" s="468"/>
      <c r="K214" s="468"/>
      <c r="L214" s="468"/>
      <c r="M214" s="468"/>
      <c r="N214" s="468"/>
      <c r="O214" s="468"/>
      <c r="P214" s="468"/>
      <c r="Q214" s="468"/>
      <c r="R214" s="468"/>
      <c r="S214" s="468"/>
      <c r="T214" s="468"/>
    </row>
    <row r="215" spans="1:20" ht="12.75">
      <c r="A215" s="423"/>
      <c r="B215" s="442" t="s">
        <v>1225</v>
      </c>
      <c r="C215" s="470">
        <f>('[4]Bieu 57'!D215)/1000000</f>
        <v>14127.645</v>
      </c>
      <c r="D215" s="470">
        <f>('[4]Bieu 57'!I215)/1000000</f>
        <v>13744.645</v>
      </c>
      <c r="E215" s="468"/>
      <c r="F215" s="468"/>
      <c r="G215" s="468"/>
      <c r="H215" s="468"/>
      <c r="I215" s="339">
        <f t="shared" si="22"/>
        <v>13744.645</v>
      </c>
      <c r="J215" s="468"/>
      <c r="K215" s="468"/>
      <c r="L215" s="468"/>
      <c r="M215" s="468"/>
      <c r="N215" s="468"/>
      <c r="O215" s="468"/>
      <c r="P215" s="468"/>
      <c r="Q215" s="468"/>
      <c r="R215" s="468"/>
      <c r="S215" s="468"/>
      <c r="T215" s="468"/>
    </row>
    <row r="216" spans="1:20" ht="12.75">
      <c r="A216" s="423"/>
      <c r="B216" s="442" t="s">
        <v>1342</v>
      </c>
      <c r="C216" s="470">
        <f>('[4]Bieu 57'!D216)/1000000</f>
        <v>2140</v>
      </c>
      <c r="D216" s="470">
        <f>('[4]Bieu 57'!I216)/1000000</f>
        <v>2140</v>
      </c>
      <c r="E216" s="468"/>
      <c r="F216" s="468"/>
      <c r="G216" s="468"/>
      <c r="H216" s="468"/>
      <c r="I216" s="339">
        <f t="shared" si="22"/>
        <v>2140</v>
      </c>
      <c r="J216" s="468"/>
      <c r="K216" s="468"/>
      <c r="L216" s="468"/>
      <c r="M216" s="468"/>
      <c r="N216" s="468"/>
      <c r="O216" s="468"/>
      <c r="P216" s="468"/>
      <c r="Q216" s="468"/>
      <c r="R216" s="468"/>
      <c r="S216" s="468"/>
      <c r="T216" s="468"/>
    </row>
    <row r="217" spans="1:20" ht="12.75">
      <c r="A217" s="423"/>
      <c r="B217" s="442" t="s">
        <v>1343</v>
      </c>
      <c r="C217" s="470">
        <f>('[4]Bieu 57'!D217)/1000000</f>
        <v>2061.88</v>
      </c>
      <c r="D217" s="470">
        <f>('[4]Bieu 57'!I217)/1000000</f>
        <v>2061.88</v>
      </c>
      <c r="E217" s="468"/>
      <c r="F217" s="468"/>
      <c r="G217" s="468"/>
      <c r="H217" s="468"/>
      <c r="I217" s="339">
        <f t="shared" si="22"/>
        <v>2061.88</v>
      </c>
      <c r="J217" s="468"/>
      <c r="K217" s="468"/>
      <c r="L217" s="468"/>
      <c r="M217" s="468"/>
      <c r="N217" s="468"/>
      <c r="O217" s="468"/>
      <c r="P217" s="468"/>
      <c r="Q217" s="468"/>
      <c r="R217" s="468"/>
      <c r="S217" s="468"/>
      <c r="T217" s="468"/>
    </row>
    <row r="218" spans="1:20" ht="12.75">
      <c r="A218" s="423"/>
      <c r="B218" s="442" t="s">
        <v>1344</v>
      </c>
      <c r="C218" s="470">
        <f>('[4]Bieu 57'!D218)/1000000</f>
        <v>3693.44</v>
      </c>
      <c r="D218" s="470">
        <f>('[4]Bieu 57'!I218)/1000000</f>
        <v>3693.44</v>
      </c>
      <c r="E218" s="468"/>
      <c r="F218" s="468"/>
      <c r="G218" s="468"/>
      <c r="H218" s="468"/>
      <c r="I218" s="339">
        <f t="shared" si="22"/>
        <v>3693.44</v>
      </c>
      <c r="J218" s="468"/>
      <c r="K218" s="468"/>
      <c r="L218" s="468"/>
      <c r="M218" s="468"/>
      <c r="N218" s="468"/>
      <c r="O218" s="468"/>
      <c r="P218" s="468"/>
      <c r="Q218" s="468"/>
      <c r="R218" s="468"/>
      <c r="S218" s="468"/>
      <c r="T218" s="468"/>
    </row>
    <row r="219" spans="1:20" ht="12.75">
      <c r="A219" s="423"/>
      <c r="B219" s="442" t="s">
        <v>1345</v>
      </c>
      <c r="C219" s="470">
        <f>('[4]Bieu 57'!D219)/1000000</f>
        <v>3381.44</v>
      </c>
      <c r="D219" s="470">
        <f>('[4]Bieu 57'!I219)/1000000</f>
        <v>3381.44</v>
      </c>
      <c r="E219" s="468"/>
      <c r="F219" s="468"/>
      <c r="G219" s="468"/>
      <c r="H219" s="468"/>
      <c r="I219" s="339">
        <f t="shared" si="22"/>
        <v>3381.44</v>
      </c>
      <c r="J219" s="468"/>
      <c r="K219" s="468"/>
      <c r="L219" s="468"/>
      <c r="M219" s="468"/>
      <c r="N219" s="468"/>
      <c r="O219" s="468"/>
      <c r="P219" s="468"/>
      <c r="Q219" s="468"/>
      <c r="R219" s="468"/>
      <c r="S219" s="468"/>
      <c r="T219" s="468"/>
    </row>
    <row r="220" spans="1:20" ht="12.75">
      <c r="A220" s="423"/>
      <c r="B220" s="442" t="s">
        <v>1346</v>
      </c>
      <c r="C220" s="470">
        <f>('[4]Bieu 57'!D220)/1000000</f>
        <v>941</v>
      </c>
      <c r="D220" s="470">
        <f>('[4]Bieu 57'!I220)/1000000</f>
        <v>941</v>
      </c>
      <c r="E220" s="468"/>
      <c r="F220" s="468"/>
      <c r="G220" s="468"/>
      <c r="H220" s="468"/>
      <c r="I220" s="339">
        <f t="shared" si="22"/>
        <v>941</v>
      </c>
      <c r="J220" s="468"/>
      <c r="K220" s="468"/>
      <c r="L220" s="468"/>
      <c r="M220" s="468"/>
      <c r="N220" s="468"/>
      <c r="O220" s="468"/>
      <c r="P220" s="468"/>
      <c r="Q220" s="468"/>
      <c r="R220" s="468"/>
      <c r="S220" s="468"/>
      <c r="T220" s="468"/>
    </row>
    <row r="221" spans="1:20" ht="12.75">
      <c r="A221" s="423"/>
      <c r="B221" s="442" t="s">
        <v>1230</v>
      </c>
      <c r="C221" s="470">
        <f>('[4]Bieu 57'!D221)/1000000</f>
        <v>1113</v>
      </c>
      <c r="D221" s="470">
        <f>('[4]Bieu 57'!I221)/1000000</f>
        <v>1113</v>
      </c>
      <c r="E221" s="468"/>
      <c r="F221" s="468"/>
      <c r="G221" s="468"/>
      <c r="H221" s="468"/>
      <c r="I221" s="339">
        <f t="shared" si="22"/>
        <v>1113</v>
      </c>
      <c r="J221" s="468"/>
      <c r="K221" s="468"/>
      <c r="L221" s="468"/>
      <c r="M221" s="468"/>
      <c r="N221" s="468"/>
      <c r="O221" s="468"/>
      <c r="P221" s="468"/>
      <c r="Q221" s="468"/>
      <c r="R221" s="468"/>
      <c r="S221" s="468"/>
      <c r="T221" s="468"/>
    </row>
    <row r="222" spans="1:20" ht="12.75">
      <c r="A222" s="423"/>
      <c r="B222" s="442" t="s">
        <v>1347</v>
      </c>
      <c r="C222" s="470">
        <f>('[4]Bieu 57'!D222)/1000000</f>
        <v>2398</v>
      </c>
      <c r="D222" s="470">
        <f>('[4]Bieu 57'!I222)/1000000</f>
        <v>2396.300591</v>
      </c>
      <c r="E222" s="468"/>
      <c r="F222" s="468"/>
      <c r="G222" s="468"/>
      <c r="H222" s="468"/>
      <c r="I222" s="339">
        <f t="shared" si="22"/>
        <v>2396.300591</v>
      </c>
      <c r="J222" s="468"/>
      <c r="K222" s="468"/>
      <c r="L222" s="468"/>
      <c r="M222" s="468"/>
      <c r="N222" s="468"/>
      <c r="O222" s="468"/>
      <c r="P222" s="468"/>
      <c r="Q222" s="468"/>
      <c r="R222" s="468"/>
      <c r="S222" s="468"/>
      <c r="T222" s="468"/>
    </row>
    <row r="223" spans="1:20" ht="12.75">
      <c r="A223" s="423"/>
      <c r="B223" s="442" t="s">
        <v>1348</v>
      </c>
      <c r="C223" s="470">
        <f>('[4]Bieu 57'!D223)/1000000</f>
        <v>244.765</v>
      </c>
      <c r="D223" s="470">
        <f>('[4]Bieu 57'!I223)/1000000</f>
        <v>244.765</v>
      </c>
      <c r="E223" s="468"/>
      <c r="F223" s="468"/>
      <c r="G223" s="468"/>
      <c r="H223" s="468"/>
      <c r="I223" s="339">
        <f t="shared" si="22"/>
        <v>244.765</v>
      </c>
      <c r="J223" s="468"/>
      <c r="K223" s="468"/>
      <c r="L223" s="468"/>
      <c r="M223" s="468"/>
      <c r="N223" s="468"/>
      <c r="O223" s="468"/>
      <c r="P223" s="468"/>
      <c r="Q223" s="468"/>
      <c r="R223" s="468"/>
      <c r="S223" s="468"/>
      <c r="T223" s="468"/>
    </row>
    <row r="224" spans="1:20" ht="12.75">
      <c r="A224" s="423"/>
      <c r="B224" s="424"/>
      <c r="C224" s="472">
        <f>'[4]Bieu 57'!D224</f>
        <v>0</v>
      </c>
      <c r="D224" s="339">
        <f>'[4]Bieu 57'!I224</f>
        <v>0</v>
      </c>
      <c r="E224" s="468"/>
      <c r="F224" s="468"/>
      <c r="G224" s="468"/>
      <c r="H224" s="468"/>
      <c r="I224" s="339">
        <f t="shared" si="22"/>
        <v>0</v>
      </c>
      <c r="J224" s="468"/>
      <c r="K224" s="468"/>
      <c r="L224" s="468"/>
      <c r="M224" s="468"/>
      <c r="N224" s="468"/>
      <c r="O224" s="468"/>
      <c r="P224" s="468"/>
      <c r="Q224" s="468"/>
      <c r="R224" s="468"/>
      <c r="S224" s="468"/>
      <c r="T224" s="468"/>
    </row>
    <row r="225" spans="1:20" s="444" customFormat="1" ht="12.75">
      <c r="A225" s="439">
        <v>2</v>
      </c>
      <c r="B225" s="440" t="s">
        <v>1349</v>
      </c>
      <c r="C225" s="473">
        <f>C226+C237</f>
        <v>3979.85</v>
      </c>
      <c r="D225" s="473">
        <f aca="true" t="shared" si="23" ref="D225:T225">D226+D237</f>
        <v>3040.9611</v>
      </c>
      <c r="E225" s="473">
        <f t="shared" si="23"/>
        <v>0</v>
      </c>
      <c r="F225" s="473">
        <f t="shared" si="23"/>
        <v>0</v>
      </c>
      <c r="G225" s="473">
        <f t="shared" si="23"/>
        <v>0</v>
      </c>
      <c r="H225" s="473">
        <f t="shared" si="23"/>
        <v>0</v>
      </c>
      <c r="I225" s="473">
        <f t="shared" si="23"/>
        <v>3040.9611</v>
      </c>
      <c r="J225" s="473">
        <f t="shared" si="23"/>
        <v>0</v>
      </c>
      <c r="K225" s="473">
        <f t="shared" si="23"/>
        <v>0</v>
      </c>
      <c r="L225" s="473">
        <f t="shared" si="23"/>
        <v>0</v>
      </c>
      <c r="M225" s="473">
        <f t="shared" si="23"/>
        <v>0</v>
      </c>
      <c r="N225" s="473">
        <f t="shared" si="23"/>
        <v>0</v>
      </c>
      <c r="O225" s="473">
        <f t="shared" si="23"/>
        <v>0</v>
      </c>
      <c r="P225" s="473">
        <f t="shared" si="23"/>
        <v>0</v>
      </c>
      <c r="Q225" s="473">
        <f t="shared" si="23"/>
        <v>0</v>
      </c>
      <c r="R225" s="473">
        <f t="shared" si="23"/>
        <v>0</v>
      </c>
      <c r="S225" s="473">
        <f t="shared" si="23"/>
        <v>0</v>
      </c>
      <c r="T225" s="473">
        <f t="shared" si="23"/>
        <v>0</v>
      </c>
    </row>
    <row r="226" spans="1:20" s="444" customFormat="1" ht="12.75">
      <c r="A226" s="439"/>
      <c r="B226" s="440" t="s">
        <v>1350</v>
      </c>
      <c r="C226" s="473">
        <f>SUM(C227:C236)</f>
        <v>2549.85</v>
      </c>
      <c r="D226" s="473">
        <f aca="true" t="shared" si="24" ref="D226:T226">SUM(D227:D236)</f>
        <v>2432.9611</v>
      </c>
      <c r="E226" s="473">
        <f t="shared" si="24"/>
        <v>0</v>
      </c>
      <c r="F226" s="473">
        <f t="shared" si="24"/>
        <v>0</v>
      </c>
      <c r="G226" s="473">
        <f t="shared" si="24"/>
        <v>0</v>
      </c>
      <c r="H226" s="473">
        <f t="shared" si="24"/>
        <v>0</v>
      </c>
      <c r="I226" s="473">
        <f t="shared" si="24"/>
        <v>2432.9611</v>
      </c>
      <c r="J226" s="473">
        <f t="shared" si="24"/>
        <v>0</v>
      </c>
      <c r="K226" s="473">
        <f t="shared" si="24"/>
        <v>0</v>
      </c>
      <c r="L226" s="473">
        <f t="shared" si="24"/>
        <v>0</v>
      </c>
      <c r="M226" s="473">
        <f t="shared" si="24"/>
        <v>0</v>
      </c>
      <c r="N226" s="473">
        <f t="shared" si="24"/>
        <v>0</v>
      </c>
      <c r="O226" s="473">
        <f t="shared" si="24"/>
        <v>0</v>
      </c>
      <c r="P226" s="473">
        <f t="shared" si="24"/>
        <v>0</v>
      </c>
      <c r="Q226" s="473">
        <f t="shared" si="24"/>
        <v>0</v>
      </c>
      <c r="R226" s="473">
        <f t="shared" si="24"/>
        <v>0</v>
      </c>
      <c r="S226" s="473">
        <f t="shared" si="24"/>
        <v>0</v>
      </c>
      <c r="T226" s="473">
        <f t="shared" si="24"/>
        <v>0</v>
      </c>
    </row>
    <row r="227" spans="1:20" ht="12.75">
      <c r="A227" s="423"/>
      <c r="B227" s="428" t="s">
        <v>1351</v>
      </c>
      <c r="C227" s="470">
        <f>('[4]Bieu 57'!D227)/1000000</f>
        <v>505.1</v>
      </c>
      <c r="D227" s="470">
        <f>('[4]Bieu 57'!I227)/1000000</f>
        <v>502.809</v>
      </c>
      <c r="E227" s="468"/>
      <c r="F227" s="468"/>
      <c r="G227" s="468"/>
      <c r="H227" s="468"/>
      <c r="I227" s="339">
        <f>D227</f>
        <v>502.809</v>
      </c>
      <c r="J227" s="468"/>
      <c r="K227" s="468"/>
      <c r="L227" s="468"/>
      <c r="M227" s="468"/>
      <c r="N227" s="468"/>
      <c r="O227" s="468"/>
      <c r="P227" s="468"/>
      <c r="Q227" s="468"/>
      <c r="R227" s="468"/>
      <c r="S227" s="468"/>
      <c r="T227" s="468"/>
    </row>
    <row r="228" spans="1:20" ht="12.75">
      <c r="A228" s="423"/>
      <c r="B228" s="428" t="s">
        <v>1352</v>
      </c>
      <c r="C228" s="470">
        <f>('[4]Bieu 57'!D228)/1000000</f>
        <v>315.06</v>
      </c>
      <c r="D228" s="470">
        <f>('[4]Bieu 57'!I228)/1000000</f>
        <v>291.2026</v>
      </c>
      <c r="E228" s="468"/>
      <c r="F228" s="468"/>
      <c r="G228" s="468"/>
      <c r="H228" s="468"/>
      <c r="I228" s="339">
        <f aca="true" t="shared" si="25" ref="I228:I236">D228</f>
        <v>291.2026</v>
      </c>
      <c r="J228" s="468"/>
      <c r="K228" s="468"/>
      <c r="L228" s="468"/>
      <c r="M228" s="468"/>
      <c r="N228" s="468"/>
      <c r="O228" s="468"/>
      <c r="P228" s="468"/>
      <c r="Q228" s="468"/>
      <c r="R228" s="468"/>
      <c r="S228" s="468"/>
      <c r="T228" s="468"/>
    </row>
    <row r="229" spans="1:20" ht="12.75">
      <c r="A229" s="423"/>
      <c r="B229" s="428" t="s">
        <v>1353</v>
      </c>
      <c r="C229" s="470">
        <f>('[4]Bieu 57'!D229)/1000000</f>
        <v>258.78</v>
      </c>
      <c r="D229" s="470">
        <f>('[4]Bieu 57'!I229)/1000000</f>
        <v>227.7915</v>
      </c>
      <c r="E229" s="468"/>
      <c r="F229" s="468"/>
      <c r="G229" s="468"/>
      <c r="H229" s="468"/>
      <c r="I229" s="339">
        <f t="shared" si="25"/>
        <v>227.7915</v>
      </c>
      <c r="J229" s="468"/>
      <c r="K229" s="468"/>
      <c r="L229" s="468"/>
      <c r="M229" s="468"/>
      <c r="N229" s="468"/>
      <c r="O229" s="468"/>
      <c r="P229" s="468"/>
      <c r="Q229" s="468"/>
      <c r="R229" s="468"/>
      <c r="S229" s="468"/>
      <c r="T229" s="468"/>
    </row>
    <row r="230" spans="1:20" ht="12.75">
      <c r="A230" s="423"/>
      <c r="B230" s="428" t="s">
        <v>1354</v>
      </c>
      <c r="C230" s="470">
        <f>('[4]Bieu 57'!D230)/1000000</f>
        <v>163.675</v>
      </c>
      <c r="D230" s="470">
        <f>('[4]Bieu 57'!I230)/1000000</f>
        <v>156.475</v>
      </c>
      <c r="E230" s="468"/>
      <c r="F230" s="468"/>
      <c r="G230" s="468"/>
      <c r="H230" s="468"/>
      <c r="I230" s="339">
        <f t="shared" si="25"/>
        <v>156.475</v>
      </c>
      <c r="J230" s="468"/>
      <c r="K230" s="468"/>
      <c r="L230" s="468"/>
      <c r="M230" s="468"/>
      <c r="N230" s="468"/>
      <c r="O230" s="468"/>
      <c r="P230" s="468"/>
      <c r="Q230" s="468"/>
      <c r="R230" s="468"/>
      <c r="S230" s="468"/>
      <c r="T230" s="468"/>
    </row>
    <row r="231" spans="1:20" ht="12.75">
      <c r="A231" s="423"/>
      <c r="B231" s="428" t="s">
        <v>1355</v>
      </c>
      <c r="C231" s="470">
        <f>('[4]Bieu 57'!D231)/1000000</f>
        <v>256.43</v>
      </c>
      <c r="D231" s="470">
        <f>('[4]Bieu 57'!I231)/1000000</f>
        <v>237.448</v>
      </c>
      <c r="E231" s="468"/>
      <c r="F231" s="468"/>
      <c r="G231" s="468"/>
      <c r="H231" s="468"/>
      <c r="I231" s="339">
        <f t="shared" si="25"/>
        <v>237.448</v>
      </c>
      <c r="J231" s="468"/>
      <c r="K231" s="468"/>
      <c r="L231" s="468"/>
      <c r="M231" s="468"/>
      <c r="N231" s="468"/>
      <c r="O231" s="468"/>
      <c r="P231" s="468"/>
      <c r="Q231" s="468"/>
      <c r="R231" s="468"/>
      <c r="S231" s="468"/>
      <c r="T231" s="468"/>
    </row>
    <row r="232" spans="1:20" ht="12.75">
      <c r="A232" s="423"/>
      <c r="B232" s="428" t="s">
        <v>1356</v>
      </c>
      <c r="C232" s="470">
        <f>('[4]Bieu 57'!D232)/1000000</f>
        <v>265.725</v>
      </c>
      <c r="D232" s="470">
        <f>('[4]Bieu 57'!I232)/1000000</f>
        <v>255.525</v>
      </c>
      <c r="E232" s="468"/>
      <c r="F232" s="468"/>
      <c r="G232" s="468"/>
      <c r="H232" s="468"/>
      <c r="I232" s="339">
        <f t="shared" si="25"/>
        <v>255.525</v>
      </c>
      <c r="J232" s="468"/>
      <c r="K232" s="468"/>
      <c r="L232" s="468"/>
      <c r="M232" s="468"/>
      <c r="N232" s="468"/>
      <c r="O232" s="468"/>
      <c r="P232" s="468"/>
      <c r="Q232" s="468"/>
      <c r="R232" s="468"/>
      <c r="S232" s="468"/>
      <c r="T232" s="468"/>
    </row>
    <row r="233" spans="1:20" ht="12.75">
      <c r="A233" s="423"/>
      <c r="B233" s="428" t="s">
        <v>1357</v>
      </c>
      <c r="C233" s="470">
        <f>('[4]Bieu 57'!D233)/1000000</f>
        <v>268.935</v>
      </c>
      <c r="D233" s="470">
        <f>('[4]Bieu 57'!I233)/1000000</f>
        <v>258.135</v>
      </c>
      <c r="E233" s="468"/>
      <c r="F233" s="468"/>
      <c r="G233" s="468"/>
      <c r="H233" s="468"/>
      <c r="I233" s="339">
        <f t="shared" si="25"/>
        <v>258.135</v>
      </c>
      <c r="J233" s="468"/>
      <c r="K233" s="468"/>
      <c r="L233" s="468"/>
      <c r="M233" s="468"/>
      <c r="N233" s="468"/>
      <c r="O233" s="468"/>
      <c r="P233" s="468"/>
      <c r="Q233" s="468"/>
      <c r="R233" s="468"/>
      <c r="S233" s="468"/>
      <c r="T233" s="468"/>
    </row>
    <row r="234" spans="1:20" ht="12.75">
      <c r="A234" s="423"/>
      <c r="B234" s="428" t="s">
        <v>1358</v>
      </c>
      <c r="C234" s="470">
        <f>('[4]Bieu 57'!D234)/1000000</f>
        <v>323.285</v>
      </c>
      <c r="D234" s="470">
        <f>('[4]Bieu 57'!I234)/1000000</f>
        <v>323.285</v>
      </c>
      <c r="E234" s="468"/>
      <c r="F234" s="468"/>
      <c r="G234" s="468"/>
      <c r="H234" s="468"/>
      <c r="I234" s="339">
        <f t="shared" si="25"/>
        <v>323.285</v>
      </c>
      <c r="J234" s="468"/>
      <c r="K234" s="468"/>
      <c r="L234" s="468"/>
      <c r="M234" s="468"/>
      <c r="N234" s="468"/>
      <c r="O234" s="468"/>
      <c r="P234" s="468"/>
      <c r="Q234" s="468"/>
      <c r="R234" s="468"/>
      <c r="S234" s="468"/>
      <c r="T234" s="468"/>
    </row>
    <row r="235" spans="1:20" ht="12.75">
      <c r="A235" s="423"/>
      <c r="B235" s="428" t="s">
        <v>1359</v>
      </c>
      <c r="C235" s="470">
        <f>('[4]Bieu 57'!D235)/1000000</f>
        <v>54.815</v>
      </c>
      <c r="D235" s="470">
        <f>('[4]Bieu 57'!I235)/1000000</f>
        <v>51.815</v>
      </c>
      <c r="E235" s="468"/>
      <c r="F235" s="468"/>
      <c r="G235" s="468"/>
      <c r="H235" s="468"/>
      <c r="I235" s="339">
        <f t="shared" si="25"/>
        <v>51.815</v>
      </c>
      <c r="J235" s="468"/>
      <c r="K235" s="468"/>
      <c r="L235" s="468"/>
      <c r="M235" s="468"/>
      <c r="N235" s="468"/>
      <c r="O235" s="468"/>
      <c r="P235" s="468"/>
      <c r="Q235" s="468"/>
      <c r="R235" s="468"/>
      <c r="S235" s="468"/>
      <c r="T235" s="468"/>
    </row>
    <row r="236" spans="1:20" ht="12.75">
      <c r="A236" s="423"/>
      <c r="B236" s="428" t="s">
        <v>1360</v>
      </c>
      <c r="C236" s="470">
        <f>('[4]Bieu 57'!D236)/1000000</f>
        <v>138.045</v>
      </c>
      <c r="D236" s="470">
        <f>('[4]Bieu 57'!I236)/1000000</f>
        <v>128.475</v>
      </c>
      <c r="E236" s="468"/>
      <c r="F236" s="468"/>
      <c r="G236" s="468"/>
      <c r="H236" s="468"/>
      <c r="I236" s="339">
        <f t="shared" si="25"/>
        <v>128.475</v>
      </c>
      <c r="J236" s="468"/>
      <c r="K236" s="468"/>
      <c r="L236" s="468"/>
      <c r="M236" s="468"/>
      <c r="N236" s="468"/>
      <c r="O236" s="468"/>
      <c r="P236" s="468"/>
      <c r="Q236" s="468"/>
      <c r="R236" s="468"/>
      <c r="S236" s="468"/>
      <c r="T236" s="468"/>
    </row>
    <row r="237" spans="1:20" s="444" customFormat="1" ht="12.75">
      <c r="A237" s="439"/>
      <c r="B237" s="445" t="s">
        <v>1361</v>
      </c>
      <c r="C237" s="473">
        <f>SUM(C238:C244)</f>
        <v>1430</v>
      </c>
      <c r="D237" s="473">
        <f aca="true" t="shared" si="26" ref="D237:T237">SUM(D238:D244)</f>
        <v>608</v>
      </c>
      <c r="E237" s="473">
        <f t="shared" si="26"/>
        <v>0</v>
      </c>
      <c r="F237" s="473">
        <f t="shared" si="26"/>
        <v>0</v>
      </c>
      <c r="G237" s="473">
        <f t="shared" si="26"/>
        <v>0</v>
      </c>
      <c r="H237" s="473">
        <f t="shared" si="26"/>
        <v>0</v>
      </c>
      <c r="I237" s="473">
        <f t="shared" si="26"/>
        <v>608</v>
      </c>
      <c r="J237" s="473">
        <f t="shared" si="26"/>
        <v>0</v>
      </c>
      <c r="K237" s="473">
        <f t="shared" si="26"/>
        <v>0</v>
      </c>
      <c r="L237" s="473">
        <f t="shared" si="26"/>
        <v>0</v>
      </c>
      <c r="M237" s="473">
        <f t="shared" si="26"/>
        <v>0</v>
      </c>
      <c r="N237" s="473">
        <f t="shared" si="26"/>
        <v>0</v>
      </c>
      <c r="O237" s="473">
        <f t="shared" si="26"/>
        <v>0</v>
      </c>
      <c r="P237" s="473">
        <f t="shared" si="26"/>
        <v>0</v>
      </c>
      <c r="Q237" s="473">
        <f t="shared" si="26"/>
        <v>0</v>
      </c>
      <c r="R237" s="473">
        <f t="shared" si="26"/>
        <v>0</v>
      </c>
      <c r="S237" s="473">
        <f t="shared" si="26"/>
        <v>0</v>
      </c>
      <c r="T237" s="473">
        <f t="shared" si="26"/>
        <v>0</v>
      </c>
    </row>
    <row r="238" spans="1:20" ht="12.75">
      <c r="A238" s="423"/>
      <c r="B238" s="428" t="s">
        <v>1352</v>
      </c>
      <c r="C238" s="470">
        <f>('[4]Bieu 57'!D238)/1000000</f>
        <v>818</v>
      </c>
      <c r="D238" s="470">
        <f>('[4]Bieu 57'!I238)/1000000</f>
        <v>294</v>
      </c>
      <c r="E238" s="468"/>
      <c r="F238" s="468"/>
      <c r="G238" s="468"/>
      <c r="H238" s="468"/>
      <c r="I238" s="339">
        <f>D238</f>
        <v>294</v>
      </c>
      <c r="J238" s="468"/>
      <c r="K238" s="468"/>
      <c r="L238" s="468"/>
      <c r="M238" s="468"/>
      <c r="N238" s="468"/>
      <c r="O238" s="468"/>
      <c r="P238" s="468"/>
      <c r="Q238" s="468"/>
      <c r="R238" s="468"/>
      <c r="S238" s="468"/>
      <c r="T238" s="468"/>
    </row>
    <row r="239" spans="1:20" ht="12.75">
      <c r="A239" s="423"/>
      <c r="B239" s="428" t="s">
        <v>1353</v>
      </c>
      <c r="C239" s="470">
        <f>('[4]Bieu 57'!D239)/1000000</f>
        <v>446</v>
      </c>
      <c r="D239" s="470">
        <f>('[4]Bieu 57'!I239)/1000000</f>
        <v>180</v>
      </c>
      <c r="E239" s="468"/>
      <c r="F239" s="468"/>
      <c r="G239" s="468"/>
      <c r="H239" s="468"/>
      <c r="I239" s="339">
        <f aca="true" t="shared" si="27" ref="I239:I244">D239</f>
        <v>180</v>
      </c>
      <c r="J239" s="468"/>
      <c r="K239" s="468"/>
      <c r="L239" s="468"/>
      <c r="M239" s="468"/>
      <c r="N239" s="468"/>
      <c r="O239" s="468"/>
      <c r="P239" s="468"/>
      <c r="Q239" s="468"/>
      <c r="R239" s="468"/>
      <c r="S239" s="468"/>
      <c r="T239" s="468"/>
    </row>
    <row r="240" spans="1:20" ht="12.75">
      <c r="A240" s="423"/>
      <c r="B240" s="428" t="s">
        <v>1354</v>
      </c>
      <c r="C240" s="470">
        <f>('[4]Bieu 57'!D240)/1000000</f>
        <v>6</v>
      </c>
      <c r="D240" s="470">
        <f>('[4]Bieu 57'!I240)/1000000</f>
        <v>6</v>
      </c>
      <c r="E240" s="468"/>
      <c r="F240" s="468"/>
      <c r="G240" s="468"/>
      <c r="H240" s="468"/>
      <c r="I240" s="339">
        <f t="shared" si="27"/>
        <v>6</v>
      </c>
      <c r="J240" s="468"/>
      <c r="K240" s="468"/>
      <c r="L240" s="468"/>
      <c r="M240" s="468"/>
      <c r="N240" s="468"/>
      <c r="O240" s="468"/>
      <c r="P240" s="468"/>
      <c r="Q240" s="468"/>
      <c r="R240" s="468"/>
      <c r="S240" s="468"/>
      <c r="T240" s="468"/>
    </row>
    <row r="241" spans="1:20" ht="12.75">
      <c r="A241" s="423"/>
      <c r="B241" s="428" t="s">
        <v>1357</v>
      </c>
      <c r="C241" s="470">
        <f>('[4]Bieu 57'!D241)/1000000</f>
        <v>80</v>
      </c>
      <c r="D241" s="470">
        <f>('[4]Bieu 57'!I241)/1000000</f>
        <v>70</v>
      </c>
      <c r="E241" s="468"/>
      <c r="F241" s="468"/>
      <c r="G241" s="468"/>
      <c r="H241" s="468"/>
      <c r="I241" s="339">
        <f t="shared" si="27"/>
        <v>70</v>
      </c>
      <c r="J241" s="468"/>
      <c r="K241" s="468"/>
      <c r="L241" s="468"/>
      <c r="M241" s="468"/>
      <c r="N241" s="468"/>
      <c r="O241" s="468"/>
      <c r="P241" s="468"/>
      <c r="Q241" s="468"/>
      <c r="R241" s="468"/>
      <c r="S241" s="468"/>
      <c r="T241" s="468"/>
    </row>
    <row r="242" spans="1:20" ht="12.75">
      <c r="A242" s="423"/>
      <c r="B242" s="428" t="s">
        <v>1358</v>
      </c>
      <c r="C242" s="470">
        <f>('[4]Bieu 57'!D242)/1000000</f>
        <v>80</v>
      </c>
      <c r="D242" s="470">
        <f>('[4]Bieu 57'!I242)/1000000</f>
        <v>58</v>
      </c>
      <c r="E242" s="468"/>
      <c r="F242" s="468"/>
      <c r="G242" s="468"/>
      <c r="H242" s="468"/>
      <c r="I242" s="339">
        <f t="shared" si="27"/>
        <v>58</v>
      </c>
      <c r="J242" s="468"/>
      <c r="K242" s="468"/>
      <c r="L242" s="468"/>
      <c r="M242" s="468"/>
      <c r="N242" s="468"/>
      <c r="O242" s="468"/>
      <c r="P242" s="468"/>
      <c r="Q242" s="468"/>
      <c r="R242" s="468"/>
      <c r="S242" s="468"/>
      <c r="T242" s="468"/>
    </row>
    <row r="243" spans="1:20" ht="12.75">
      <c r="A243" s="423"/>
      <c r="B243" s="428"/>
      <c r="C243" s="472">
        <f>'[4]Bieu 57'!D243</f>
        <v>0</v>
      </c>
      <c r="D243" s="339">
        <f>'[4]Bieu 57'!I243</f>
        <v>0</v>
      </c>
      <c r="E243" s="468"/>
      <c r="F243" s="468"/>
      <c r="G243" s="468"/>
      <c r="H243" s="468"/>
      <c r="I243" s="339">
        <f t="shared" si="27"/>
        <v>0</v>
      </c>
      <c r="J243" s="468"/>
      <c r="K243" s="468"/>
      <c r="L243" s="468"/>
      <c r="M243" s="468"/>
      <c r="N243" s="468"/>
      <c r="O243" s="468"/>
      <c r="P243" s="468"/>
      <c r="Q243" s="468"/>
      <c r="R243" s="468"/>
      <c r="S243" s="468"/>
      <c r="T243" s="468"/>
    </row>
    <row r="244" spans="1:20" ht="12.75">
      <c r="A244" s="423"/>
      <c r="B244" s="424"/>
      <c r="C244" s="472">
        <f>'[4]Bieu 57'!D244</f>
        <v>0</v>
      </c>
      <c r="D244" s="339">
        <f>'[4]Bieu 57'!I244</f>
        <v>0</v>
      </c>
      <c r="E244" s="468"/>
      <c r="F244" s="468"/>
      <c r="G244" s="468"/>
      <c r="H244" s="468"/>
      <c r="I244" s="339">
        <f t="shared" si="27"/>
        <v>0</v>
      </c>
      <c r="J244" s="468"/>
      <c r="K244" s="468"/>
      <c r="L244" s="468"/>
      <c r="M244" s="468"/>
      <c r="N244" s="468"/>
      <c r="O244" s="468"/>
      <c r="P244" s="468"/>
      <c r="Q244" s="468"/>
      <c r="R244" s="468"/>
      <c r="S244" s="468"/>
      <c r="T244" s="468"/>
    </row>
    <row r="245" spans="1:20" s="444" customFormat="1" ht="25.5">
      <c r="A245" s="439">
        <v>3</v>
      </c>
      <c r="B245" s="440" t="s">
        <v>1362</v>
      </c>
      <c r="C245" s="473">
        <f>SUM(C246:C253)</f>
        <v>14960.800000000001</v>
      </c>
      <c r="D245" s="473">
        <f aca="true" t="shared" si="28" ref="D245:T245">SUM(D246:D253)</f>
        <v>14694.4295</v>
      </c>
      <c r="E245" s="473">
        <f t="shared" si="28"/>
        <v>0</v>
      </c>
      <c r="F245" s="473">
        <f t="shared" si="28"/>
        <v>0</v>
      </c>
      <c r="G245" s="473">
        <f t="shared" si="28"/>
        <v>0</v>
      </c>
      <c r="H245" s="473">
        <f t="shared" si="28"/>
        <v>0</v>
      </c>
      <c r="I245" s="473">
        <f t="shared" si="28"/>
        <v>14694.4295</v>
      </c>
      <c r="J245" s="473">
        <f t="shared" si="28"/>
        <v>0</v>
      </c>
      <c r="K245" s="473">
        <f t="shared" si="28"/>
        <v>0</v>
      </c>
      <c r="L245" s="473">
        <f t="shared" si="28"/>
        <v>0</v>
      </c>
      <c r="M245" s="473">
        <f t="shared" si="28"/>
        <v>0</v>
      </c>
      <c r="N245" s="473">
        <f t="shared" si="28"/>
        <v>0</v>
      </c>
      <c r="O245" s="473">
        <f t="shared" si="28"/>
        <v>0</v>
      </c>
      <c r="P245" s="473">
        <f t="shared" si="28"/>
        <v>0</v>
      </c>
      <c r="Q245" s="473">
        <f t="shared" si="28"/>
        <v>0</v>
      </c>
      <c r="R245" s="473">
        <f t="shared" si="28"/>
        <v>0</v>
      </c>
      <c r="S245" s="473">
        <f t="shared" si="28"/>
        <v>0</v>
      </c>
      <c r="T245" s="473">
        <f t="shared" si="28"/>
        <v>0</v>
      </c>
    </row>
    <row r="246" spans="1:20" ht="25.5">
      <c r="A246" s="446"/>
      <c r="B246" s="424" t="s">
        <v>1363</v>
      </c>
      <c r="C246" s="470">
        <f>('[4]Bieu 57'!D246)/1000000</f>
        <v>165.226</v>
      </c>
      <c r="D246" s="470">
        <f>('[4]Bieu 57'!I246)/1000000</f>
        <v>152.62012</v>
      </c>
      <c r="E246" s="468"/>
      <c r="F246" s="468"/>
      <c r="G246" s="468"/>
      <c r="H246" s="468"/>
      <c r="I246" s="339">
        <f>D246</f>
        <v>152.62012</v>
      </c>
      <c r="J246" s="468"/>
      <c r="K246" s="468"/>
      <c r="L246" s="468"/>
      <c r="M246" s="468"/>
      <c r="N246" s="468"/>
      <c r="O246" s="468"/>
      <c r="P246" s="468"/>
      <c r="Q246" s="468"/>
      <c r="R246" s="468"/>
      <c r="S246" s="468"/>
      <c r="T246" s="468"/>
    </row>
    <row r="247" spans="1:20" ht="12.75">
      <c r="A247" s="446"/>
      <c r="B247" s="442" t="s">
        <v>1332</v>
      </c>
      <c r="C247" s="470">
        <f>('[4]Bieu 57'!D247)/1000000</f>
        <v>981.031</v>
      </c>
      <c r="D247" s="470">
        <f>('[4]Bieu 57'!I247)/1000000</f>
        <v>970.90078</v>
      </c>
      <c r="E247" s="468"/>
      <c r="F247" s="468"/>
      <c r="G247" s="468"/>
      <c r="H247" s="468"/>
      <c r="I247" s="339">
        <f aca="true" t="shared" si="29" ref="I247:I253">D247</f>
        <v>970.90078</v>
      </c>
      <c r="J247" s="468"/>
      <c r="K247" s="468"/>
      <c r="L247" s="468"/>
      <c r="M247" s="468"/>
      <c r="N247" s="468"/>
      <c r="O247" s="468"/>
      <c r="P247" s="468"/>
      <c r="Q247" s="468"/>
      <c r="R247" s="468"/>
      <c r="S247" s="468"/>
      <c r="T247" s="468"/>
    </row>
    <row r="248" spans="1:20" ht="12.75">
      <c r="A248" s="446"/>
      <c r="B248" s="443" t="s">
        <v>1333</v>
      </c>
      <c r="C248" s="470">
        <f>('[4]Bieu 57'!D248)/1000000</f>
        <v>2005.344</v>
      </c>
      <c r="D248" s="470">
        <f>('[4]Bieu 57'!I248)/1000000</f>
        <v>1842.81816</v>
      </c>
      <c r="E248" s="468"/>
      <c r="F248" s="468"/>
      <c r="G248" s="468"/>
      <c r="H248" s="468"/>
      <c r="I248" s="339">
        <f t="shared" si="29"/>
        <v>1842.81816</v>
      </c>
      <c r="J248" s="468"/>
      <c r="K248" s="468"/>
      <c r="L248" s="468"/>
      <c r="M248" s="468"/>
      <c r="N248" s="468"/>
      <c r="O248" s="468"/>
      <c r="P248" s="468"/>
      <c r="Q248" s="468"/>
      <c r="R248" s="468"/>
      <c r="S248" s="468"/>
      <c r="T248" s="468"/>
    </row>
    <row r="249" spans="1:20" ht="12.75">
      <c r="A249" s="446"/>
      <c r="B249" s="443" t="s">
        <v>1334</v>
      </c>
      <c r="C249" s="470">
        <f>('[4]Bieu 57'!D249)/1000000</f>
        <v>5632.651</v>
      </c>
      <c r="D249" s="470">
        <f>('[4]Bieu 57'!I249)/1000000</f>
        <v>5578.32786</v>
      </c>
      <c r="E249" s="468"/>
      <c r="F249" s="468"/>
      <c r="G249" s="468"/>
      <c r="H249" s="468"/>
      <c r="I249" s="339">
        <f t="shared" si="29"/>
        <v>5578.32786</v>
      </c>
      <c r="J249" s="468"/>
      <c r="K249" s="468"/>
      <c r="L249" s="468"/>
      <c r="M249" s="468"/>
      <c r="N249" s="468"/>
      <c r="O249" s="468"/>
      <c r="P249" s="468"/>
      <c r="Q249" s="468"/>
      <c r="R249" s="468"/>
      <c r="S249" s="468"/>
      <c r="T249" s="468"/>
    </row>
    <row r="250" spans="1:20" ht="12.75">
      <c r="A250" s="446"/>
      <c r="B250" s="443" t="s">
        <v>1335</v>
      </c>
      <c r="C250" s="470">
        <f>('[4]Bieu 57'!D250)/1000000</f>
        <v>4923.417</v>
      </c>
      <c r="D250" s="470">
        <f>('[4]Bieu 57'!I250)/1000000</f>
        <v>4923.417</v>
      </c>
      <c r="E250" s="468"/>
      <c r="F250" s="468"/>
      <c r="G250" s="468"/>
      <c r="H250" s="468"/>
      <c r="I250" s="339">
        <f t="shared" si="29"/>
        <v>4923.417</v>
      </c>
      <c r="J250" s="468"/>
      <c r="K250" s="468"/>
      <c r="L250" s="468"/>
      <c r="M250" s="468"/>
      <c r="N250" s="468"/>
      <c r="O250" s="468"/>
      <c r="P250" s="468"/>
      <c r="Q250" s="468"/>
      <c r="R250" s="468"/>
      <c r="S250" s="468"/>
      <c r="T250" s="468"/>
    </row>
    <row r="251" spans="1:20" ht="12.75">
      <c r="A251" s="446"/>
      <c r="B251" s="443" t="s">
        <v>1337</v>
      </c>
      <c r="C251" s="470">
        <f>('[4]Bieu 57'!D251)/1000000</f>
        <v>387.989</v>
      </c>
      <c r="D251" s="470">
        <f>('[4]Bieu 57'!I251)/1000000</f>
        <v>361.20358</v>
      </c>
      <c r="E251" s="468"/>
      <c r="F251" s="468"/>
      <c r="G251" s="468"/>
      <c r="H251" s="468"/>
      <c r="I251" s="339">
        <f t="shared" si="29"/>
        <v>361.20358</v>
      </c>
      <c r="J251" s="468"/>
      <c r="K251" s="468"/>
      <c r="L251" s="468"/>
      <c r="M251" s="468"/>
      <c r="N251" s="468"/>
      <c r="O251" s="468"/>
      <c r="P251" s="468"/>
      <c r="Q251" s="468"/>
      <c r="R251" s="468"/>
      <c r="S251" s="468"/>
      <c r="T251" s="468"/>
    </row>
    <row r="252" spans="1:20" ht="12.75">
      <c r="A252" s="446"/>
      <c r="B252" s="443" t="s">
        <v>1338</v>
      </c>
      <c r="C252" s="470">
        <f>('[4]Bieu 57'!D252)/1000000</f>
        <v>614.088</v>
      </c>
      <c r="D252" s="470">
        <f>('[4]Bieu 57'!I252)/1000000</f>
        <v>614.088</v>
      </c>
      <c r="E252" s="468"/>
      <c r="F252" s="468"/>
      <c r="G252" s="468"/>
      <c r="H252" s="468"/>
      <c r="I252" s="339">
        <f t="shared" si="29"/>
        <v>614.088</v>
      </c>
      <c r="J252" s="468"/>
      <c r="K252" s="468"/>
      <c r="L252" s="468"/>
      <c r="M252" s="468"/>
      <c r="N252" s="468"/>
      <c r="O252" s="468"/>
      <c r="P252" s="468"/>
      <c r="Q252" s="468"/>
      <c r="R252" s="468"/>
      <c r="S252" s="468"/>
      <c r="T252" s="468"/>
    </row>
    <row r="253" spans="1:20" ht="12.75">
      <c r="A253" s="439"/>
      <c r="B253" s="443" t="s">
        <v>1347</v>
      </c>
      <c r="C253" s="470">
        <f>('[4]Bieu 57'!D253)/1000000</f>
        <v>251.054</v>
      </c>
      <c r="D253" s="470">
        <f>('[4]Bieu 57'!I253)/1000000</f>
        <v>251.054</v>
      </c>
      <c r="E253" s="468"/>
      <c r="F253" s="468"/>
      <c r="G253" s="468"/>
      <c r="H253" s="468"/>
      <c r="I253" s="339">
        <f t="shared" si="29"/>
        <v>251.054</v>
      </c>
      <c r="J253" s="468"/>
      <c r="K253" s="468"/>
      <c r="L253" s="468"/>
      <c r="M253" s="468"/>
      <c r="N253" s="468"/>
      <c r="O253" s="468"/>
      <c r="P253" s="468"/>
      <c r="Q253" s="468"/>
      <c r="R253" s="468"/>
      <c r="S253" s="468"/>
      <c r="T253" s="468"/>
    </row>
    <row r="254" spans="1:20" s="444" customFormat="1" ht="12.75">
      <c r="A254" s="439">
        <v>4</v>
      </c>
      <c r="B254" s="440" t="s">
        <v>1364</v>
      </c>
      <c r="C254" s="473">
        <f>C255</f>
        <v>639</v>
      </c>
      <c r="D254" s="473">
        <f aca="true" t="shared" si="30" ref="D254:T254">D255</f>
        <v>530.6</v>
      </c>
      <c r="E254" s="473">
        <f t="shared" si="30"/>
        <v>0</v>
      </c>
      <c r="F254" s="473">
        <f t="shared" si="30"/>
        <v>0</v>
      </c>
      <c r="G254" s="473">
        <f t="shared" si="30"/>
        <v>0</v>
      </c>
      <c r="H254" s="473">
        <f t="shared" si="30"/>
        <v>0</v>
      </c>
      <c r="I254" s="473">
        <f t="shared" si="30"/>
        <v>530.6</v>
      </c>
      <c r="J254" s="473">
        <f t="shared" si="30"/>
        <v>0</v>
      </c>
      <c r="K254" s="473">
        <f t="shared" si="30"/>
        <v>0</v>
      </c>
      <c r="L254" s="473">
        <f t="shared" si="30"/>
        <v>0</v>
      </c>
      <c r="M254" s="473">
        <f t="shared" si="30"/>
        <v>0</v>
      </c>
      <c r="N254" s="473">
        <f t="shared" si="30"/>
        <v>0</v>
      </c>
      <c r="O254" s="473">
        <f t="shared" si="30"/>
        <v>0</v>
      </c>
      <c r="P254" s="473">
        <f t="shared" si="30"/>
        <v>0</v>
      </c>
      <c r="Q254" s="473">
        <f t="shared" si="30"/>
        <v>0</v>
      </c>
      <c r="R254" s="473">
        <f t="shared" si="30"/>
        <v>0</v>
      </c>
      <c r="S254" s="473">
        <f t="shared" si="30"/>
        <v>0</v>
      </c>
      <c r="T254" s="473">
        <f t="shared" si="30"/>
        <v>0</v>
      </c>
    </row>
    <row r="255" spans="1:20" ht="12.75">
      <c r="A255" s="446"/>
      <c r="B255" s="447" t="s">
        <v>1225</v>
      </c>
      <c r="C255" s="470">
        <f>('[4]Bieu 57'!D255)/1000000</f>
        <v>639</v>
      </c>
      <c r="D255" s="470">
        <f>('[4]Bieu 57'!I255)/1000000</f>
        <v>530.6</v>
      </c>
      <c r="E255" s="468"/>
      <c r="F255" s="468"/>
      <c r="G255" s="468"/>
      <c r="H255" s="468"/>
      <c r="I255" s="339">
        <f>D255</f>
        <v>530.6</v>
      </c>
      <c r="J255" s="468"/>
      <c r="K255" s="468"/>
      <c r="L255" s="468"/>
      <c r="M255" s="468"/>
      <c r="N255" s="468"/>
      <c r="O255" s="468"/>
      <c r="P255" s="468"/>
      <c r="Q255" s="468"/>
      <c r="R255" s="468"/>
      <c r="S255" s="468"/>
      <c r="T255" s="468"/>
    </row>
    <row r="256" spans="1:20" s="444" customFormat="1" ht="25.5">
      <c r="A256" s="439">
        <v>5</v>
      </c>
      <c r="B256" s="448" t="s">
        <v>1365</v>
      </c>
      <c r="C256" s="470">
        <f>('[4]Bieu 57'!D256)/1000000</f>
        <v>12000</v>
      </c>
      <c r="D256" s="470">
        <f>('[4]Bieu 57'!I256)/1000000</f>
        <v>11000</v>
      </c>
      <c r="E256" s="474"/>
      <c r="F256" s="474"/>
      <c r="G256" s="474"/>
      <c r="H256" s="474"/>
      <c r="I256" s="475">
        <f>D256</f>
        <v>11000</v>
      </c>
      <c r="J256" s="474"/>
      <c r="K256" s="474"/>
      <c r="L256" s="474"/>
      <c r="M256" s="474"/>
      <c r="N256" s="474"/>
      <c r="O256" s="474"/>
      <c r="P256" s="474"/>
      <c r="Q256" s="474"/>
      <c r="R256" s="474"/>
      <c r="S256" s="474"/>
      <c r="T256" s="474"/>
    </row>
    <row r="257" spans="1:20" s="444" customFormat="1" ht="25.5">
      <c r="A257" s="439">
        <v>6</v>
      </c>
      <c r="B257" s="448" t="s">
        <v>1366</v>
      </c>
      <c r="C257" s="470">
        <f>('[4]Bieu 57'!D257)/1000000</f>
        <v>17657</v>
      </c>
      <c r="D257" s="475">
        <f>D258</f>
        <v>813</v>
      </c>
      <c r="E257" s="475">
        <f aca="true" t="shared" si="31" ref="E257:T257">E258</f>
        <v>0</v>
      </c>
      <c r="F257" s="475">
        <f t="shared" si="31"/>
        <v>0</v>
      </c>
      <c r="G257" s="475">
        <f t="shared" si="31"/>
        <v>0</v>
      </c>
      <c r="H257" s="475">
        <f t="shared" si="31"/>
        <v>0</v>
      </c>
      <c r="I257" s="475">
        <f t="shared" si="31"/>
        <v>813</v>
      </c>
      <c r="J257" s="475">
        <f t="shared" si="31"/>
        <v>0</v>
      </c>
      <c r="K257" s="475">
        <f t="shared" si="31"/>
        <v>0</v>
      </c>
      <c r="L257" s="475">
        <f t="shared" si="31"/>
        <v>0</v>
      </c>
      <c r="M257" s="475">
        <f t="shared" si="31"/>
        <v>0</v>
      </c>
      <c r="N257" s="475">
        <f t="shared" si="31"/>
        <v>0</v>
      </c>
      <c r="O257" s="475">
        <f t="shared" si="31"/>
        <v>0</v>
      </c>
      <c r="P257" s="475">
        <f t="shared" si="31"/>
        <v>0</v>
      </c>
      <c r="Q257" s="475">
        <f t="shared" si="31"/>
        <v>0</v>
      </c>
      <c r="R257" s="475">
        <f t="shared" si="31"/>
        <v>0</v>
      </c>
      <c r="S257" s="475">
        <f t="shared" si="31"/>
        <v>0</v>
      </c>
      <c r="T257" s="475">
        <f t="shared" si="31"/>
        <v>0</v>
      </c>
    </row>
    <row r="258" spans="1:20" ht="12.75">
      <c r="A258" s="446"/>
      <c r="B258" s="441" t="s">
        <v>1211</v>
      </c>
      <c r="C258" s="470">
        <f>('[4]Bieu 57'!D258)/1000000</f>
        <v>813</v>
      </c>
      <c r="D258" s="470">
        <f>('[4]Bieu 57'!I258)/1000000</f>
        <v>813</v>
      </c>
      <c r="E258" s="468"/>
      <c r="F258" s="468"/>
      <c r="G258" s="468"/>
      <c r="H258" s="468"/>
      <c r="I258" s="339">
        <f>D258</f>
        <v>813</v>
      </c>
      <c r="J258" s="468"/>
      <c r="K258" s="468"/>
      <c r="L258" s="468"/>
      <c r="M258" s="468"/>
      <c r="N258" s="468"/>
      <c r="O258" s="468"/>
      <c r="P258" s="468"/>
      <c r="Q258" s="468"/>
      <c r="R258" s="468"/>
      <c r="S258" s="468"/>
      <c r="T258" s="468"/>
    </row>
    <row r="259" spans="1:20" s="422" customFormat="1" ht="25.5">
      <c r="A259" s="439">
        <v>7</v>
      </c>
      <c r="B259" s="449" t="s">
        <v>1367</v>
      </c>
      <c r="C259" s="470">
        <v>6263</v>
      </c>
      <c r="D259" s="473">
        <f aca="true" t="shared" si="32" ref="D259:T259">SUM(D260:D273)</f>
        <v>2589.5999999999995</v>
      </c>
      <c r="E259" s="473">
        <f t="shared" si="32"/>
        <v>0</v>
      </c>
      <c r="F259" s="473">
        <f t="shared" si="32"/>
        <v>0</v>
      </c>
      <c r="G259" s="473">
        <f t="shared" si="32"/>
        <v>0</v>
      </c>
      <c r="H259" s="473">
        <f t="shared" si="32"/>
        <v>0</v>
      </c>
      <c r="I259" s="473">
        <f t="shared" si="32"/>
        <v>2589.5999999999995</v>
      </c>
      <c r="J259" s="473">
        <f t="shared" si="32"/>
        <v>0</v>
      </c>
      <c r="K259" s="473">
        <f t="shared" si="32"/>
        <v>0</v>
      </c>
      <c r="L259" s="473">
        <f t="shared" si="32"/>
        <v>0</v>
      </c>
      <c r="M259" s="473">
        <f t="shared" si="32"/>
        <v>0</v>
      </c>
      <c r="N259" s="473">
        <f t="shared" si="32"/>
        <v>0</v>
      </c>
      <c r="O259" s="473">
        <f t="shared" si="32"/>
        <v>0</v>
      </c>
      <c r="P259" s="473">
        <f t="shared" si="32"/>
        <v>0</v>
      </c>
      <c r="Q259" s="473">
        <f t="shared" si="32"/>
        <v>0</v>
      </c>
      <c r="R259" s="473">
        <f t="shared" si="32"/>
        <v>0</v>
      </c>
      <c r="S259" s="473">
        <f t="shared" si="32"/>
        <v>0</v>
      </c>
      <c r="T259" s="473">
        <f t="shared" si="32"/>
        <v>0</v>
      </c>
    </row>
    <row r="260" spans="1:20" ht="12.75">
      <c r="A260" s="423"/>
      <c r="B260" s="443" t="s">
        <v>1332</v>
      </c>
      <c r="C260" s="472"/>
      <c r="D260" s="470">
        <f>('[4]Bieu 57'!I260)/1000000</f>
        <v>160.306</v>
      </c>
      <c r="E260" s="468"/>
      <c r="F260" s="468"/>
      <c r="G260" s="468"/>
      <c r="H260" s="468"/>
      <c r="I260" s="339">
        <f>D260</f>
        <v>160.306</v>
      </c>
      <c r="J260" s="468"/>
      <c r="K260" s="468"/>
      <c r="L260" s="468"/>
      <c r="M260" s="468"/>
      <c r="N260" s="468"/>
      <c r="O260" s="468"/>
      <c r="P260" s="468"/>
      <c r="Q260" s="468"/>
      <c r="R260" s="468"/>
      <c r="S260" s="468"/>
      <c r="T260" s="468"/>
    </row>
    <row r="261" spans="1:20" ht="12.75">
      <c r="A261" s="423"/>
      <c r="B261" s="443" t="s">
        <v>1333</v>
      </c>
      <c r="C261" s="472"/>
      <c r="D261" s="470">
        <f>('[4]Bieu 57'!I261)/1000000</f>
        <v>65.465</v>
      </c>
      <c r="E261" s="468"/>
      <c r="F261" s="468"/>
      <c r="G261" s="468"/>
      <c r="H261" s="468"/>
      <c r="I261" s="339">
        <f aca="true" t="shared" si="33" ref="I261:I273">D261</f>
        <v>65.465</v>
      </c>
      <c r="J261" s="468"/>
      <c r="K261" s="468"/>
      <c r="L261" s="468"/>
      <c r="M261" s="468"/>
      <c r="N261" s="468"/>
      <c r="O261" s="468"/>
      <c r="P261" s="468"/>
      <c r="Q261" s="468"/>
      <c r="R261" s="468"/>
      <c r="S261" s="468"/>
      <c r="T261" s="468"/>
    </row>
    <row r="262" spans="1:20" ht="12.75">
      <c r="A262" s="423"/>
      <c r="B262" s="443" t="s">
        <v>1334</v>
      </c>
      <c r="C262" s="472"/>
      <c r="D262" s="470">
        <f>('[4]Bieu 57'!I262)/1000000</f>
        <v>378.991</v>
      </c>
      <c r="E262" s="468"/>
      <c r="F262" s="468"/>
      <c r="G262" s="468"/>
      <c r="H262" s="468"/>
      <c r="I262" s="339">
        <f t="shared" si="33"/>
        <v>378.991</v>
      </c>
      <c r="J262" s="468"/>
      <c r="K262" s="468"/>
      <c r="L262" s="468"/>
      <c r="M262" s="468"/>
      <c r="N262" s="468"/>
      <c r="O262" s="468"/>
      <c r="P262" s="468"/>
      <c r="Q262" s="468"/>
      <c r="R262" s="468"/>
      <c r="S262" s="468"/>
      <c r="T262" s="468"/>
    </row>
    <row r="263" spans="1:20" ht="12.75">
      <c r="A263" s="423"/>
      <c r="B263" s="443" t="s">
        <v>1335</v>
      </c>
      <c r="C263" s="472"/>
      <c r="D263" s="470">
        <f>('[4]Bieu 57'!I263)/1000000</f>
        <v>478.893</v>
      </c>
      <c r="E263" s="468"/>
      <c r="F263" s="468"/>
      <c r="G263" s="468"/>
      <c r="H263" s="468"/>
      <c r="I263" s="339">
        <f t="shared" si="33"/>
        <v>478.893</v>
      </c>
      <c r="J263" s="468"/>
      <c r="K263" s="468"/>
      <c r="L263" s="468"/>
      <c r="M263" s="468"/>
      <c r="N263" s="468"/>
      <c r="O263" s="468"/>
      <c r="P263" s="468"/>
      <c r="Q263" s="468"/>
      <c r="R263" s="468"/>
      <c r="S263" s="468"/>
      <c r="T263" s="468"/>
    </row>
    <row r="264" spans="1:20" ht="12.75">
      <c r="A264" s="423"/>
      <c r="B264" s="443" t="s">
        <v>1336</v>
      </c>
      <c r="C264" s="472"/>
      <c r="D264" s="470">
        <f>('[4]Bieu 57'!I264)/1000000</f>
        <v>0</v>
      </c>
      <c r="E264" s="468"/>
      <c r="F264" s="468"/>
      <c r="G264" s="468"/>
      <c r="H264" s="468"/>
      <c r="I264" s="339">
        <f t="shared" si="33"/>
        <v>0</v>
      </c>
      <c r="J264" s="468"/>
      <c r="K264" s="468"/>
      <c r="L264" s="468"/>
      <c r="M264" s="468"/>
      <c r="N264" s="468"/>
      <c r="O264" s="468"/>
      <c r="P264" s="468"/>
      <c r="Q264" s="468"/>
      <c r="R264" s="468"/>
      <c r="S264" s="468"/>
      <c r="T264" s="468"/>
    </row>
    <row r="265" spans="1:20" ht="12.75">
      <c r="A265" s="423"/>
      <c r="B265" s="443" t="s">
        <v>1337</v>
      </c>
      <c r="C265" s="472"/>
      <c r="D265" s="470">
        <f>('[4]Bieu 57'!I265)/1000000</f>
        <v>245.82</v>
      </c>
      <c r="E265" s="468"/>
      <c r="F265" s="468"/>
      <c r="G265" s="468"/>
      <c r="H265" s="468"/>
      <c r="I265" s="339">
        <f t="shared" si="33"/>
        <v>245.82</v>
      </c>
      <c r="J265" s="468"/>
      <c r="K265" s="468"/>
      <c r="L265" s="468"/>
      <c r="M265" s="468"/>
      <c r="N265" s="468"/>
      <c r="O265" s="468"/>
      <c r="P265" s="468"/>
      <c r="Q265" s="468"/>
      <c r="R265" s="468"/>
      <c r="S265" s="468"/>
      <c r="T265" s="468"/>
    </row>
    <row r="266" spans="1:20" ht="12.75">
      <c r="A266" s="423"/>
      <c r="B266" s="443" t="s">
        <v>1338</v>
      </c>
      <c r="C266" s="472"/>
      <c r="D266" s="470">
        <f>('[4]Bieu 57'!I266)/1000000</f>
        <v>204.85</v>
      </c>
      <c r="E266" s="468"/>
      <c r="F266" s="468"/>
      <c r="G266" s="468"/>
      <c r="H266" s="468"/>
      <c r="I266" s="339">
        <f t="shared" si="33"/>
        <v>204.85</v>
      </c>
      <c r="J266" s="468"/>
      <c r="K266" s="468"/>
      <c r="L266" s="468"/>
      <c r="M266" s="468"/>
      <c r="N266" s="468"/>
      <c r="O266" s="468"/>
      <c r="P266" s="468"/>
      <c r="Q266" s="468"/>
      <c r="R266" s="468"/>
      <c r="S266" s="468"/>
      <c r="T266" s="468"/>
    </row>
    <row r="267" spans="1:20" ht="12.75">
      <c r="A267" s="423"/>
      <c r="B267" s="443" t="s">
        <v>1339</v>
      </c>
      <c r="C267" s="472"/>
      <c r="D267" s="470">
        <f>('[4]Bieu 57'!I267)/1000000</f>
        <v>504.883</v>
      </c>
      <c r="E267" s="468"/>
      <c r="F267" s="468"/>
      <c r="G267" s="468"/>
      <c r="H267" s="468"/>
      <c r="I267" s="339">
        <f t="shared" si="33"/>
        <v>504.883</v>
      </c>
      <c r="J267" s="468"/>
      <c r="K267" s="468"/>
      <c r="L267" s="468"/>
      <c r="M267" s="468"/>
      <c r="N267" s="468"/>
      <c r="O267" s="468"/>
      <c r="P267" s="468"/>
      <c r="Q267" s="468"/>
      <c r="R267" s="468"/>
      <c r="S267" s="468"/>
      <c r="T267" s="468"/>
    </row>
    <row r="268" spans="1:20" ht="12.75">
      <c r="A268" s="423"/>
      <c r="B268" s="443" t="s">
        <v>1340</v>
      </c>
      <c r="C268" s="472"/>
      <c r="D268" s="470">
        <f>('[4]Bieu 57'!I268)/1000000</f>
        <v>78.6</v>
      </c>
      <c r="E268" s="468"/>
      <c r="F268" s="468"/>
      <c r="G268" s="468"/>
      <c r="H268" s="468"/>
      <c r="I268" s="339">
        <f t="shared" si="33"/>
        <v>78.6</v>
      </c>
      <c r="J268" s="468"/>
      <c r="K268" s="468"/>
      <c r="L268" s="468"/>
      <c r="M268" s="468"/>
      <c r="N268" s="468"/>
      <c r="O268" s="468"/>
      <c r="P268" s="468"/>
      <c r="Q268" s="468"/>
      <c r="R268" s="468"/>
      <c r="S268" s="468"/>
      <c r="T268" s="468"/>
    </row>
    <row r="269" spans="1:20" ht="12.75">
      <c r="A269" s="423"/>
      <c r="B269" s="442" t="s">
        <v>1341</v>
      </c>
      <c r="C269" s="472"/>
      <c r="D269" s="470">
        <f>('[4]Bieu 57'!I269)/1000000</f>
        <v>205.038</v>
      </c>
      <c r="E269" s="468"/>
      <c r="F269" s="468"/>
      <c r="G269" s="468"/>
      <c r="H269" s="468"/>
      <c r="I269" s="339">
        <f t="shared" si="33"/>
        <v>205.038</v>
      </c>
      <c r="J269" s="468"/>
      <c r="K269" s="468"/>
      <c r="L269" s="468"/>
      <c r="M269" s="468"/>
      <c r="N269" s="468"/>
      <c r="O269" s="468"/>
      <c r="P269" s="468"/>
      <c r="Q269" s="468"/>
      <c r="R269" s="468"/>
      <c r="S269" s="468"/>
      <c r="T269" s="468"/>
    </row>
    <row r="270" spans="1:20" ht="12.75">
      <c r="A270" s="423"/>
      <c r="B270" s="442" t="s">
        <v>1344</v>
      </c>
      <c r="C270" s="472"/>
      <c r="D270" s="470">
        <f>('[4]Bieu 57'!I270)/1000000</f>
        <v>63.535</v>
      </c>
      <c r="E270" s="468"/>
      <c r="F270" s="468"/>
      <c r="G270" s="468"/>
      <c r="H270" s="468"/>
      <c r="I270" s="339">
        <f t="shared" si="33"/>
        <v>63.535</v>
      </c>
      <c r="J270" s="468"/>
      <c r="K270" s="468"/>
      <c r="L270" s="468"/>
      <c r="M270" s="468"/>
      <c r="N270" s="468"/>
      <c r="O270" s="468"/>
      <c r="P270" s="468"/>
      <c r="Q270" s="468"/>
      <c r="R270" s="468"/>
      <c r="S270" s="468"/>
      <c r="T270" s="468"/>
    </row>
    <row r="271" spans="1:20" ht="12.75">
      <c r="A271" s="423"/>
      <c r="B271" s="442" t="s">
        <v>1346</v>
      </c>
      <c r="C271" s="472"/>
      <c r="D271" s="470">
        <f>('[4]Bieu 57'!I271)/1000000</f>
        <v>83.89</v>
      </c>
      <c r="E271" s="468"/>
      <c r="F271" s="468"/>
      <c r="G271" s="468"/>
      <c r="H271" s="468"/>
      <c r="I271" s="339">
        <f t="shared" si="33"/>
        <v>83.89</v>
      </c>
      <c r="J271" s="468"/>
      <c r="K271" s="468"/>
      <c r="L271" s="468"/>
      <c r="M271" s="468"/>
      <c r="N271" s="468"/>
      <c r="O271" s="468"/>
      <c r="P271" s="468"/>
      <c r="Q271" s="468"/>
      <c r="R271" s="468"/>
      <c r="S271" s="468"/>
      <c r="T271" s="468"/>
    </row>
    <row r="272" spans="1:20" ht="12.75">
      <c r="A272" s="423"/>
      <c r="B272" s="442" t="s">
        <v>1230</v>
      </c>
      <c r="C272" s="472"/>
      <c r="D272" s="470">
        <f>('[4]Bieu 57'!I272)/1000000</f>
        <v>39.388</v>
      </c>
      <c r="E272" s="468"/>
      <c r="F272" s="468"/>
      <c r="G272" s="468"/>
      <c r="H272" s="468"/>
      <c r="I272" s="339">
        <f t="shared" si="33"/>
        <v>39.388</v>
      </c>
      <c r="J272" s="468"/>
      <c r="K272" s="468"/>
      <c r="L272" s="468"/>
      <c r="M272" s="468"/>
      <c r="N272" s="468"/>
      <c r="O272" s="468"/>
      <c r="P272" s="468"/>
      <c r="Q272" s="468"/>
      <c r="R272" s="468"/>
      <c r="S272" s="468"/>
      <c r="T272" s="468"/>
    </row>
    <row r="273" spans="1:20" ht="12.75">
      <c r="A273" s="423"/>
      <c r="B273" s="442" t="s">
        <v>1347</v>
      </c>
      <c r="C273" s="472"/>
      <c r="D273" s="470">
        <f>('[4]Bieu 57'!I273)/1000000</f>
        <v>79.941</v>
      </c>
      <c r="E273" s="468"/>
      <c r="F273" s="468"/>
      <c r="G273" s="468"/>
      <c r="H273" s="468"/>
      <c r="I273" s="339">
        <f t="shared" si="33"/>
        <v>79.941</v>
      </c>
      <c r="J273" s="468"/>
      <c r="K273" s="468"/>
      <c r="L273" s="468"/>
      <c r="M273" s="468"/>
      <c r="N273" s="468"/>
      <c r="O273" s="468"/>
      <c r="P273" s="468"/>
      <c r="Q273" s="468"/>
      <c r="R273" s="468"/>
      <c r="S273" s="468"/>
      <c r="T273" s="468"/>
    </row>
    <row r="274" spans="1:20" s="422" customFormat="1" ht="12.75">
      <c r="A274" s="427" t="s">
        <v>37</v>
      </c>
      <c r="B274" s="364" t="s">
        <v>1368</v>
      </c>
      <c r="C274" s="469">
        <f>SUM(C275:C277)+C285+C288</f>
        <v>22574.686999999998</v>
      </c>
      <c r="D274" s="469">
        <f>SUM(D275:D277)+D285+D288</f>
        <v>22143.8755</v>
      </c>
      <c r="E274" s="469">
        <f aca="true" t="shared" si="34" ref="E274:T274">SUM(E275:E277)+E285+E288</f>
        <v>0</v>
      </c>
      <c r="F274" s="469">
        <f t="shared" si="34"/>
        <v>0</v>
      </c>
      <c r="G274" s="469">
        <f t="shared" si="34"/>
        <v>0</v>
      </c>
      <c r="H274" s="469">
        <f t="shared" si="34"/>
        <v>0</v>
      </c>
      <c r="I274" s="469">
        <f t="shared" si="34"/>
        <v>0</v>
      </c>
      <c r="J274" s="469">
        <f t="shared" si="34"/>
        <v>22143.8755</v>
      </c>
      <c r="K274" s="469">
        <f t="shared" si="34"/>
        <v>0</v>
      </c>
      <c r="L274" s="469">
        <f t="shared" si="34"/>
        <v>0</v>
      </c>
      <c r="M274" s="469">
        <f t="shared" si="34"/>
        <v>0</v>
      </c>
      <c r="N274" s="469">
        <f t="shared" si="34"/>
        <v>0</v>
      </c>
      <c r="O274" s="469">
        <f t="shared" si="34"/>
        <v>0</v>
      </c>
      <c r="P274" s="469">
        <f t="shared" si="34"/>
        <v>0</v>
      </c>
      <c r="Q274" s="469">
        <f t="shared" si="34"/>
        <v>0</v>
      </c>
      <c r="R274" s="469">
        <f t="shared" si="34"/>
        <v>0</v>
      </c>
      <c r="S274" s="469">
        <f t="shared" si="34"/>
        <v>0</v>
      </c>
      <c r="T274" s="469">
        <f t="shared" si="34"/>
        <v>0</v>
      </c>
    </row>
    <row r="275" spans="1:20" ht="12.75">
      <c r="A275" s="423">
        <v>1</v>
      </c>
      <c r="B275" s="424" t="s">
        <v>1369</v>
      </c>
      <c r="C275" s="470">
        <f>('[4]Bieu 57'!D275)/1000000</f>
        <v>1215</v>
      </c>
      <c r="D275" s="470">
        <f>('[4]Bieu 57'!I275)/1000000</f>
        <v>1215</v>
      </c>
      <c r="E275" s="468"/>
      <c r="F275" s="468"/>
      <c r="G275" s="468"/>
      <c r="H275" s="468"/>
      <c r="I275" s="468"/>
      <c r="J275" s="339">
        <f>D275</f>
        <v>1215</v>
      </c>
      <c r="K275" s="468"/>
      <c r="L275" s="468"/>
      <c r="M275" s="468"/>
      <c r="N275" s="468"/>
      <c r="O275" s="468"/>
      <c r="P275" s="468"/>
      <c r="Q275" s="468"/>
      <c r="R275" s="468"/>
      <c r="S275" s="468"/>
      <c r="T275" s="468"/>
    </row>
    <row r="276" spans="1:20" ht="12.75">
      <c r="A276" s="423">
        <v>2</v>
      </c>
      <c r="B276" s="424" t="s">
        <v>429</v>
      </c>
      <c r="C276" s="470">
        <f>('[4]Bieu 57'!D276)/1000000</f>
        <v>1768</v>
      </c>
      <c r="D276" s="470">
        <f>('[4]Bieu 57'!I276)/1000000</f>
        <v>1768</v>
      </c>
      <c r="E276" s="468"/>
      <c r="F276" s="468"/>
      <c r="G276" s="468"/>
      <c r="H276" s="468"/>
      <c r="I276" s="468"/>
      <c r="J276" s="339">
        <f>D276</f>
        <v>1768</v>
      </c>
      <c r="K276" s="468"/>
      <c r="L276" s="468"/>
      <c r="M276" s="468"/>
      <c r="N276" s="468"/>
      <c r="O276" s="468"/>
      <c r="P276" s="468"/>
      <c r="Q276" s="468"/>
      <c r="R276" s="468"/>
      <c r="S276" s="468"/>
      <c r="T276" s="468"/>
    </row>
    <row r="277" spans="1:20" s="422" customFormat="1" ht="12.75">
      <c r="A277" s="419">
        <v>3</v>
      </c>
      <c r="B277" s="420" t="s">
        <v>1370</v>
      </c>
      <c r="C277" s="469">
        <f>SUM(C278:C284)</f>
        <v>18721.686999999998</v>
      </c>
      <c r="D277" s="469">
        <f>SUM(D278:D284)</f>
        <v>18533.4325</v>
      </c>
      <c r="E277" s="469">
        <f aca="true" t="shared" si="35" ref="E277:T277">SUM(E278:E284)</f>
        <v>0</v>
      </c>
      <c r="F277" s="469">
        <f t="shared" si="35"/>
        <v>0</v>
      </c>
      <c r="G277" s="469">
        <f t="shared" si="35"/>
        <v>0</v>
      </c>
      <c r="H277" s="469">
        <f t="shared" si="35"/>
        <v>0</v>
      </c>
      <c r="I277" s="469">
        <f t="shared" si="35"/>
        <v>0</v>
      </c>
      <c r="J277" s="469">
        <f t="shared" si="35"/>
        <v>18533.4325</v>
      </c>
      <c r="K277" s="469">
        <f t="shared" si="35"/>
        <v>0</v>
      </c>
      <c r="L277" s="469">
        <f t="shared" si="35"/>
        <v>0</v>
      </c>
      <c r="M277" s="469">
        <f t="shared" si="35"/>
        <v>0</v>
      </c>
      <c r="N277" s="469">
        <f t="shared" si="35"/>
        <v>0</v>
      </c>
      <c r="O277" s="469">
        <f t="shared" si="35"/>
        <v>0</v>
      </c>
      <c r="P277" s="469">
        <f t="shared" si="35"/>
        <v>0</v>
      </c>
      <c r="Q277" s="469">
        <f t="shared" si="35"/>
        <v>0</v>
      </c>
      <c r="R277" s="469">
        <f t="shared" si="35"/>
        <v>0</v>
      </c>
      <c r="S277" s="469">
        <f t="shared" si="35"/>
        <v>0</v>
      </c>
      <c r="T277" s="469">
        <f t="shared" si="35"/>
        <v>0</v>
      </c>
    </row>
    <row r="278" spans="1:20" ht="12.75">
      <c r="A278" s="423"/>
      <c r="B278" s="424" t="s">
        <v>1371</v>
      </c>
      <c r="C278" s="470">
        <f>('[4]Bieu 57'!D278)/1000000</f>
        <v>3255.994</v>
      </c>
      <c r="D278" s="470">
        <f>('[4]Bieu 57'!I278)/1000000</f>
        <v>3255.994</v>
      </c>
      <c r="E278" s="468"/>
      <c r="F278" s="468"/>
      <c r="G278" s="468"/>
      <c r="H278" s="468"/>
      <c r="I278" s="468"/>
      <c r="J278" s="339">
        <f>D278</f>
        <v>3255.994</v>
      </c>
      <c r="K278" s="468"/>
      <c r="L278" s="468"/>
      <c r="M278" s="468"/>
      <c r="N278" s="468"/>
      <c r="O278" s="468"/>
      <c r="P278" s="468"/>
      <c r="Q278" s="468"/>
      <c r="R278" s="468"/>
      <c r="S278" s="468"/>
      <c r="T278" s="468"/>
    </row>
    <row r="279" spans="1:20" ht="12.75">
      <c r="A279" s="423"/>
      <c r="B279" s="424" t="s">
        <v>1372</v>
      </c>
      <c r="C279" s="470">
        <f>('[4]Bieu 57'!D279)/1000000</f>
        <v>2546.799</v>
      </c>
      <c r="D279" s="470">
        <f>('[4]Bieu 57'!I279)/1000000</f>
        <v>2546.799</v>
      </c>
      <c r="E279" s="468"/>
      <c r="F279" s="468"/>
      <c r="G279" s="468"/>
      <c r="H279" s="468"/>
      <c r="I279" s="468"/>
      <c r="J279" s="339">
        <f aca="true" t="shared" si="36" ref="J279:J284">D279</f>
        <v>2546.799</v>
      </c>
      <c r="K279" s="468"/>
      <c r="L279" s="468"/>
      <c r="M279" s="468"/>
      <c r="N279" s="468"/>
      <c r="O279" s="468"/>
      <c r="P279" s="468"/>
      <c r="Q279" s="468"/>
      <c r="R279" s="468"/>
      <c r="S279" s="468"/>
      <c r="T279" s="468"/>
    </row>
    <row r="280" spans="1:20" ht="12.75">
      <c r="A280" s="423"/>
      <c r="B280" s="424" t="s">
        <v>1373</v>
      </c>
      <c r="C280" s="470">
        <f>('[4]Bieu 57'!D280)/1000000</f>
        <v>2206.365</v>
      </c>
      <c r="D280" s="470">
        <f>('[4]Bieu 57'!I280)/1000000</f>
        <v>2206.365</v>
      </c>
      <c r="E280" s="468"/>
      <c r="F280" s="468"/>
      <c r="G280" s="468"/>
      <c r="H280" s="468"/>
      <c r="I280" s="468"/>
      <c r="J280" s="339">
        <f t="shared" si="36"/>
        <v>2206.365</v>
      </c>
      <c r="K280" s="468"/>
      <c r="L280" s="468"/>
      <c r="M280" s="468"/>
      <c r="N280" s="468"/>
      <c r="O280" s="468"/>
      <c r="P280" s="468"/>
      <c r="Q280" s="468"/>
      <c r="R280" s="468"/>
      <c r="S280" s="468"/>
      <c r="T280" s="468"/>
    </row>
    <row r="281" spans="1:20" ht="12.75">
      <c r="A281" s="423"/>
      <c r="B281" s="424" t="s">
        <v>1374</v>
      </c>
      <c r="C281" s="470">
        <f>('[4]Bieu 57'!D281)/1000000</f>
        <v>2566.651</v>
      </c>
      <c r="D281" s="470">
        <f>('[4]Bieu 57'!I281)/1000000</f>
        <v>2566.651</v>
      </c>
      <c r="E281" s="468"/>
      <c r="F281" s="468"/>
      <c r="G281" s="468"/>
      <c r="H281" s="468"/>
      <c r="I281" s="468"/>
      <c r="J281" s="339">
        <f t="shared" si="36"/>
        <v>2566.651</v>
      </c>
      <c r="K281" s="468"/>
      <c r="L281" s="468"/>
      <c r="M281" s="468"/>
      <c r="N281" s="468"/>
      <c r="O281" s="468"/>
      <c r="P281" s="468"/>
      <c r="Q281" s="468"/>
      <c r="R281" s="468"/>
      <c r="S281" s="468"/>
      <c r="T281" s="468"/>
    </row>
    <row r="282" spans="1:20" ht="12.75">
      <c r="A282" s="423"/>
      <c r="B282" s="424" t="s">
        <v>1375</v>
      </c>
      <c r="C282" s="470">
        <f>('[4]Bieu 57'!D282)/1000000</f>
        <v>4065.989</v>
      </c>
      <c r="D282" s="470">
        <f>('[4]Bieu 57'!I282)/1000000</f>
        <v>3877.7345</v>
      </c>
      <c r="E282" s="468"/>
      <c r="F282" s="468"/>
      <c r="G282" s="468"/>
      <c r="H282" s="468"/>
      <c r="I282" s="468"/>
      <c r="J282" s="339">
        <f t="shared" si="36"/>
        <v>3877.7345</v>
      </c>
      <c r="K282" s="468"/>
      <c r="L282" s="468"/>
      <c r="M282" s="468"/>
      <c r="N282" s="468"/>
      <c r="O282" s="468"/>
      <c r="P282" s="468"/>
      <c r="Q282" s="468"/>
      <c r="R282" s="468"/>
      <c r="S282" s="468"/>
      <c r="T282" s="468"/>
    </row>
    <row r="283" spans="1:20" ht="12.75">
      <c r="A283" s="423"/>
      <c r="B283" s="424" t="s">
        <v>1376</v>
      </c>
      <c r="C283" s="470">
        <f>('[4]Bieu 57'!D283)/1000000</f>
        <v>974.689</v>
      </c>
      <c r="D283" s="470">
        <f>('[4]Bieu 57'!I283)/1000000</f>
        <v>974.689</v>
      </c>
      <c r="E283" s="468"/>
      <c r="F283" s="468"/>
      <c r="G283" s="468"/>
      <c r="H283" s="468"/>
      <c r="I283" s="468"/>
      <c r="J283" s="339">
        <f t="shared" si="36"/>
        <v>974.689</v>
      </c>
      <c r="K283" s="468"/>
      <c r="L283" s="468"/>
      <c r="M283" s="468"/>
      <c r="N283" s="468"/>
      <c r="O283" s="468"/>
      <c r="P283" s="468"/>
      <c r="Q283" s="468"/>
      <c r="R283" s="468"/>
      <c r="S283" s="468"/>
      <c r="T283" s="468"/>
    </row>
    <row r="284" spans="1:20" ht="12.75">
      <c r="A284" s="423"/>
      <c r="B284" s="424" t="s">
        <v>1377</v>
      </c>
      <c r="C284" s="470">
        <f>('[4]Bieu 57'!D284)/1000000</f>
        <v>3105.2</v>
      </c>
      <c r="D284" s="470">
        <f>('[4]Bieu 57'!I284)/1000000</f>
        <v>3105.2</v>
      </c>
      <c r="E284" s="468"/>
      <c r="F284" s="468"/>
      <c r="G284" s="468"/>
      <c r="H284" s="468"/>
      <c r="I284" s="468"/>
      <c r="J284" s="339">
        <f t="shared" si="36"/>
        <v>3105.2</v>
      </c>
      <c r="K284" s="468"/>
      <c r="L284" s="468"/>
      <c r="M284" s="468"/>
      <c r="N284" s="468"/>
      <c r="O284" s="468"/>
      <c r="P284" s="468"/>
      <c r="Q284" s="468"/>
      <c r="R284" s="468"/>
      <c r="S284" s="468"/>
      <c r="T284" s="468"/>
    </row>
    <row r="285" spans="1:20" s="422" customFormat="1" ht="12.75">
      <c r="A285" s="419">
        <v>4</v>
      </c>
      <c r="B285" s="420" t="s">
        <v>1378</v>
      </c>
      <c r="C285" s="469">
        <f>SUM(C286:C287)</f>
        <v>575</v>
      </c>
      <c r="D285" s="469">
        <f aca="true" t="shared" si="37" ref="D285:T285">SUM(D286:D287)</f>
        <v>575</v>
      </c>
      <c r="E285" s="469">
        <f t="shared" si="37"/>
        <v>0</v>
      </c>
      <c r="F285" s="469">
        <f t="shared" si="37"/>
        <v>0</v>
      </c>
      <c r="G285" s="469">
        <f t="shared" si="37"/>
        <v>0</v>
      </c>
      <c r="H285" s="469">
        <f t="shared" si="37"/>
        <v>0</v>
      </c>
      <c r="I285" s="469">
        <f t="shared" si="37"/>
        <v>0</v>
      </c>
      <c r="J285" s="469">
        <f t="shared" si="37"/>
        <v>575</v>
      </c>
      <c r="K285" s="469">
        <f t="shared" si="37"/>
        <v>0</v>
      </c>
      <c r="L285" s="469">
        <f t="shared" si="37"/>
        <v>0</v>
      </c>
      <c r="M285" s="469">
        <f t="shared" si="37"/>
        <v>0</v>
      </c>
      <c r="N285" s="469">
        <f t="shared" si="37"/>
        <v>0</v>
      </c>
      <c r="O285" s="469">
        <f t="shared" si="37"/>
        <v>0</v>
      </c>
      <c r="P285" s="469">
        <f t="shared" si="37"/>
        <v>0</v>
      </c>
      <c r="Q285" s="469">
        <f t="shared" si="37"/>
        <v>0</v>
      </c>
      <c r="R285" s="469">
        <f t="shared" si="37"/>
        <v>0</v>
      </c>
      <c r="S285" s="469">
        <f t="shared" si="37"/>
        <v>0</v>
      </c>
      <c r="T285" s="469">
        <f t="shared" si="37"/>
        <v>0</v>
      </c>
    </row>
    <row r="286" spans="1:20" ht="12.75">
      <c r="A286" s="423"/>
      <c r="B286" s="447" t="s">
        <v>1379</v>
      </c>
      <c r="C286" s="470">
        <f>('[4]Bieu 57'!D286)/1000000</f>
        <v>480</v>
      </c>
      <c r="D286" s="470">
        <f>('[4]Bieu 57'!I286)/1000000</f>
        <v>480</v>
      </c>
      <c r="E286" s="468"/>
      <c r="F286" s="468"/>
      <c r="G286" s="468"/>
      <c r="H286" s="468"/>
      <c r="I286" s="468"/>
      <c r="J286" s="339">
        <f>D286</f>
        <v>480</v>
      </c>
      <c r="K286" s="468"/>
      <c r="L286" s="468"/>
      <c r="M286" s="468"/>
      <c r="N286" s="468"/>
      <c r="O286" s="468"/>
      <c r="P286" s="468"/>
      <c r="Q286" s="468"/>
      <c r="R286" s="468"/>
      <c r="S286" s="468"/>
      <c r="T286" s="468"/>
    </row>
    <row r="287" spans="1:20" ht="12.75">
      <c r="A287" s="423"/>
      <c r="B287" s="447" t="s">
        <v>1380</v>
      </c>
      <c r="C287" s="470">
        <f>('[4]Bieu 57'!D287)/1000000</f>
        <v>95</v>
      </c>
      <c r="D287" s="470">
        <f>('[4]Bieu 57'!I287)/1000000</f>
        <v>95</v>
      </c>
      <c r="E287" s="468"/>
      <c r="F287" s="468"/>
      <c r="G287" s="468"/>
      <c r="H287" s="468"/>
      <c r="I287" s="468"/>
      <c r="J287" s="339">
        <f>D287</f>
        <v>95</v>
      </c>
      <c r="K287" s="468"/>
      <c r="L287" s="468"/>
      <c r="M287" s="468"/>
      <c r="N287" s="468"/>
      <c r="O287" s="468"/>
      <c r="P287" s="468"/>
      <c r="Q287" s="468"/>
      <c r="R287" s="468"/>
      <c r="S287" s="468"/>
      <c r="T287" s="468"/>
    </row>
    <row r="288" spans="1:20" s="422" customFormat="1" ht="25.5">
      <c r="A288" s="419">
        <v>5</v>
      </c>
      <c r="B288" s="420" t="s">
        <v>1367</v>
      </c>
      <c r="C288" s="470">
        <f>('[4]Bieu 57'!D288)/1000000</f>
        <v>295</v>
      </c>
      <c r="D288" s="471">
        <f>SUM(D289:D290)</f>
        <v>52.443</v>
      </c>
      <c r="E288" s="471">
        <f aca="true" t="shared" si="38" ref="E288:T288">SUM(E289:E290)</f>
        <v>0</v>
      </c>
      <c r="F288" s="471">
        <f t="shared" si="38"/>
        <v>0</v>
      </c>
      <c r="G288" s="471">
        <f t="shared" si="38"/>
        <v>0</v>
      </c>
      <c r="H288" s="471">
        <f t="shared" si="38"/>
        <v>0</v>
      </c>
      <c r="I288" s="471">
        <f t="shared" si="38"/>
        <v>0</v>
      </c>
      <c r="J288" s="471">
        <f t="shared" si="38"/>
        <v>52.443</v>
      </c>
      <c r="K288" s="471">
        <f t="shared" si="38"/>
        <v>0</v>
      </c>
      <c r="L288" s="471">
        <f t="shared" si="38"/>
        <v>0</v>
      </c>
      <c r="M288" s="471">
        <f t="shared" si="38"/>
        <v>0</v>
      </c>
      <c r="N288" s="471">
        <f t="shared" si="38"/>
        <v>0</v>
      </c>
      <c r="O288" s="471">
        <f t="shared" si="38"/>
        <v>0</v>
      </c>
      <c r="P288" s="471">
        <f t="shared" si="38"/>
        <v>0</v>
      </c>
      <c r="Q288" s="471">
        <f t="shared" si="38"/>
        <v>0</v>
      </c>
      <c r="R288" s="471">
        <f t="shared" si="38"/>
        <v>0</v>
      </c>
      <c r="S288" s="471">
        <f t="shared" si="38"/>
        <v>0</v>
      </c>
      <c r="T288" s="471">
        <f t="shared" si="38"/>
        <v>0</v>
      </c>
    </row>
    <row r="289" spans="1:20" ht="12.75">
      <c r="A289" s="446"/>
      <c r="B289" s="447" t="s">
        <v>1371</v>
      </c>
      <c r="C289" s="472"/>
      <c r="D289" s="470">
        <f>('[4]Bieu 57'!I289)/1000000</f>
        <v>9.872</v>
      </c>
      <c r="E289" s="468"/>
      <c r="F289" s="468"/>
      <c r="G289" s="468"/>
      <c r="H289" s="468"/>
      <c r="I289" s="468"/>
      <c r="J289" s="339">
        <f>D289</f>
        <v>9.872</v>
      </c>
      <c r="K289" s="468"/>
      <c r="L289" s="468"/>
      <c r="M289" s="468"/>
      <c r="N289" s="468"/>
      <c r="O289" s="468"/>
      <c r="P289" s="468"/>
      <c r="Q289" s="468"/>
      <c r="R289" s="468"/>
      <c r="S289" s="468"/>
      <c r="T289" s="468"/>
    </row>
    <row r="290" spans="1:20" ht="12.75">
      <c r="A290" s="446"/>
      <c r="B290" s="447" t="s">
        <v>1381</v>
      </c>
      <c r="C290" s="472"/>
      <c r="D290" s="470">
        <f>('[4]Bieu 57'!I290)/1000000</f>
        <v>42.571</v>
      </c>
      <c r="E290" s="468"/>
      <c r="F290" s="468"/>
      <c r="G290" s="468"/>
      <c r="H290" s="468"/>
      <c r="I290" s="468"/>
      <c r="J290" s="339">
        <f>D290</f>
        <v>42.571</v>
      </c>
      <c r="K290" s="468"/>
      <c r="L290" s="468"/>
      <c r="M290" s="468"/>
      <c r="N290" s="468"/>
      <c r="O290" s="468"/>
      <c r="P290" s="468"/>
      <c r="Q290" s="468"/>
      <c r="R290" s="468"/>
      <c r="S290" s="468"/>
      <c r="T290" s="468"/>
    </row>
    <row r="291" spans="1:20" s="422" customFormat="1" ht="25.5">
      <c r="A291" s="427" t="s">
        <v>64</v>
      </c>
      <c r="B291" s="364" t="s">
        <v>1382</v>
      </c>
      <c r="C291" s="469">
        <f>SUM(C292:C293)</f>
        <v>31489.7</v>
      </c>
      <c r="D291" s="469">
        <f aca="true" t="shared" si="39" ref="D291:T291">SUM(D292:D293)</f>
        <v>31489.7</v>
      </c>
      <c r="E291" s="469">
        <f t="shared" si="39"/>
        <v>0</v>
      </c>
      <c r="F291" s="469">
        <f t="shared" si="39"/>
        <v>0</v>
      </c>
      <c r="G291" s="469">
        <f t="shared" si="39"/>
        <v>0</v>
      </c>
      <c r="H291" s="469">
        <f t="shared" si="39"/>
        <v>0</v>
      </c>
      <c r="I291" s="469">
        <f t="shared" si="39"/>
        <v>0</v>
      </c>
      <c r="J291" s="469">
        <f t="shared" si="39"/>
        <v>0</v>
      </c>
      <c r="K291" s="469">
        <f t="shared" si="39"/>
        <v>31489.7</v>
      </c>
      <c r="L291" s="469">
        <f t="shared" si="39"/>
        <v>0</v>
      </c>
      <c r="M291" s="469">
        <f t="shared" si="39"/>
        <v>0</v>
      </c>
      <c r="N291" s="469">
        <f t="shared" si="39"/>
        <v>0</v>
      </c>
      <c r="O291" s="469">
        <f t="shared" si="39"/>
        <v>0</v>
      </c>
      <c r="P291" s="469">
        <f t="shared" si="39"/>
        <v>0</v>
      </c>
      <c r="Q291" s="469">
        <f t="shared" si="39"/>
        <v>0</v>
      </c>
      <c r="R291" s="469">
        <f t="shared" si="39"/>
        <v>0</v>
      </c>
      <c r="S291" s="469">
        <f t="shared" si="39"/>
        <v>0</v>
      </c>
      <c r="T291" s="469">
        <f t="shared" si="39"/>
        <v>0</v>
      </c>
    </row>
    <row r="292" spans="1:20" ht="12.75">
      <c r="A292" s="451"/>
      <c r="B292" s="365" t="s">
        <v>1237</v>
      </c>
      <c r="C292" s="470">
        <f>('[4]Bieu 57'!D292)/1000000</f>
        <v>21286.7</v>
      </c>
      <c r="D292" s="470">
        <f>('[4]Bieu 57'!I292)/1000000</f>
        <v>21286.7</v>
      </c>
      <c r="E292" s="468"/>
      <c r="F292" s="468"/>
      <c r="G292" s="468"/>
      <c r="H292" s="468"/>
      <c r="I292" s="468"/>
      <c r="J292" s="468"/>
      <c r="K292" s="339">
        <f>D292</f>
        <v>21286.7</v>
      </c>
      <c r="L292" s="468"/>
      <c r="M292" s="468"/>
      <c r="N292" s="468"/>
      <c r="O292" s="468"/>
      <c r="P292" s="468"/>
      <c r="Q292" s="468"/>
      <c r="R292" s="468"/>
      <c r="S292" s="468"/>
      <c r="T292" s="468"/>
    </row>
    <row r="293" spans="1:20" ht="12.75">
      <c r="A293" s="451"/>
      <c r="B293" s="424" t="s">
        <v>1383</v>
      </c>
      <c r="C293" s="470">
        <f>('[4]Bieu 57'!D293)/1000000</f>
        <v>10203</v>
      </c>
      <c r="D293" s="470">
        <f>('[4]Bieu 57'!I293)/1000000</f>
        <v>10203</v>
      </c>
      <c r="E293" s="468"/>
      <c r="F293" s="468"/>
      <c r="G293" s="468"/>
      <c r="H293" s="468"/>
      <c r="I293" s="468"/>
      <c r="J293" s="468"/>
      <c r="K293" s="339">
        <f>D293</f>
        <v>10203</v>
      </c>
      <c r="L293" s="468"/>
      <c r="M293" s="468"/>
      <c r="N293" s="468"/>
      <c r="O293" s="468"/>
      <c r="P293" s="468"/>
      <c r="Q293" s="468"/>
      <c r="R293" s="468"/>
      <c r="S293" s="468"/>
      <c r="T293" s="468"/>
    </row>
    <row r="294" spans="1:20" s="422" customFormat="1" ht="12.75">
      <c r="A294" s="427" t="s">
        <v>112</v>
      </c>
      <c r="B294" s="364" t="s">
        <v>1384</v>
      </c>
      <c r="C294" s="469">
        <f>SUM(C295:C296)</f>
        <v>2742</v>
      </c>
      <c r="D294" s="469">
        <f aca="true" t="shared" si="40" ref="D294:T294">SUM(D295:D296)</f>
        <v>2742</v>
      </c>
      <c r="E294" s="469">
        <f t="shared" si="40"/>
        <v>0</v>
      </c>
      <c r="F294" s="469">
        <f t="shared" si="40"/>
        <v>0</v>
      </c>
      <c r="G294" s="469">
        <f t="shared" si="40"/>
        <v>0</v>
      </c>
      <c r="H294" s="469">
        <f t="shared" si="40"/>
        <v>0</v>
      </c>
      <c r="I294" s="469">
        <f t="shared" si="40"/>
        <v>0</v>
      </c>
      <c r="J294" s="469">
        <f t="shared" si="40"/>
        <v>0</v>
      </c>
      <c r="K294" s="469">
        <f t="shared" si="40"/>
        <v>0</v>
      </c>
      <c r="L294" s="469">
        <f t="shared" si="40"/>
        <v>2742</v>
      </c>
      <c r="M294" s="469">
        <f t="shared" si="40"/>
        <v>0</v>
      </c>
      <c r="N294" s="469">
        <f t="shared" si="40"/>
        <v>0</v>
      </c>
      <c r="O294" s="469">
        <f t="shared" si="40"/>
        <v>0</v>
      </c>
      <c r="P294" s="469">
        <f t="shared" si="40"/>
        <v>0</v>
      </c>
      <c r="Q294" s="469">
        <f t="shared" si="40"/>
        <v>0</v>
      </c>
      <c r="R294" s="469">
        <f t="shared" si="40"/>
        <v>0</v>
      </c>
      <c r="S294" s="469">
        <f t="shared" si="40"/>
        <v>0</v>
      </c>
      <c r="T294" s="469">
        <f t="shared" si="40"/>
        <v>0</v>
      </c>
    </row>
    <row r="295" spans="1:20" ht="12.75">
      <c r="A295" s="423"/>
      <c r="B295" s="424" t="s">
        <v>1385</v>
      </c>
      <c r="C295" s="470">
        <f>('[4]Bieu 57'!D295)/1000000</f>
        <v>682</v>
      </c>
      <c r="D295" s="470">
        <f>('[4]Bieu 57'!I295)/1000000</f>
        <v>682</v>
      </c>
      <c r="E295" s="468"/>
      <c r="F295" s="468"/>
      <c r="G295" s="468"/>
      <c r="H295" s="468"/>
      <c r="I295" s="468"/>
      <c r="J295" s="468"/>
      <c r="K295" s="468"/>
      <c r="L295" s="339">
        <f>D295</f>
        <v>682</v>
      </c>
      <c r="M295" s="468"/>
      <c r="N295" s="468"/>
      <c r="O295" s="468"/>
      <c r="P295" s="468"/>
      <c r="Q295" s="468"/>
      <c r="R295" s="468"/>
      <c r="S295" s="468"/>
      <c r="T295" s="468"/>
    </row>
    <row r="296" spans="1:20" ht="12.75">
      <c r="A296" s="423"/>
      <c r="B296" s="424" t="s">
        <v>1386</v>
      </c>
      <c r="C296" s="470">
        <f>('[4]Bieu 57'!D296)/1000000</f>
        <v>2060</v>
      </c>
      <c r="D296" s="470">
        <f>('[4]Bieu 57'!I296)/1000000</f>
        <v>2060</v>
      </c>
      <c r="E296" s="468"/>
      <c r="F296" s="468"/>
      <c r="G296" s="468"/>
      <c r="H296" s="468"/>
      <c r="I296" s="468"/>
      <c r="J296" s="468"/>
      <c r="K296" s="468"/>
      <c r="L296" s="339">
        <f>D296</f>
        <v>2060</v>
      </c>
      <c r="M296" s="468"/>
      <c r="N296" s="468"/>
      <c r="O296" s="468"/>
      <c r="P296" s="468"/>
      <c r="Q296" s="468"/>
      <c r="R296" s="468"/>
      <c r="S296" s="468"/>
      <c r="T296" s="468"/>
    </row>
    <row r="297" spans="1:20" s="422" customFormat="1" ht="12.75">
      <c r="A297" s="427" t="s">
        <v>1240</v>
      </c>
      <c r="B297" s="420" t="s">
        <v>1387</v>
      </c>
      <c r="C297" s="469">
        <f>SUM(C298:C300)</f>
        <v>1100.7</v>
      </c>
      <c r="D297" s="469">
        <f aca="true" t="shared" si="41" ref="D297:T297">SUM(D298:D300)</f>
        <v>1100.7</v>
      </c>
      <c r="E297" s="469">
        <f t="shared" si="41"/>
        <v>0</v>
      </c>
      <c r="F297" s="469">
        <f t="shared" si="41"/>
        <v>0</v>
      </c>
      <c r="G297" s="469">
        <f t="shared" si="41"/>
        <v>0</v>
      </c>
      <c r="H297" s="469">
        <f t="shared" si="41"/>
        <v>0</v>
      </c>
      <c r="I297" s="469">
        <f t="shared" si="41"/>
        <v>0</v>
      </c>
      <c r="J297" s="469">
        <f t="shared" si="41"/>
        <v>0</v>
      </c>
      <c r="K297" s="469">
        <f t="shared" si="41"/>
        <v>0</v>
      </c>
      <c r="L297" s="469">
        <f t="shared" si="41"/>
        <v>0</v>
      </c>
      <c r="M297" s="469">
        <f t="shared" si="41"/>
        <v>0</v>
      </c>
      <c r="N297" s="469">
        <f t="shared" si="41"/>
        <v>1100.7</v>
      </c>
      <c r="O297" s="469">
        <f t="shared" si="41"/>
        <v>0</v>
      </c>
      <c r="P297" s="469">
        <f t="shared" si="41"/>
        <v>0</v>
      </c>
      <c r="Q297" s="469">
        <f t="shared" si="41"/>
        <v>0</v>
      </c>
      <c r="R297" s="469">
        <f t="shared" si="41"/>
        <v>0</v>
      </c>
      <c r="S297" s="469">
        <f t="shared" si="41"/>
        <v>0</v>
      </c>
      <c r="T297" s="469">
        <f t="shared" si="41"/>
        <v>0</v>
      </c>
    </row>
    <row r="298" spans="1:20" ht="12.75">
      <c r="A298" s="423"/>
      <c r="B298" s="424" t="s">
        <v>1388</v>
      </c>
      <c r="C298" s="470">
        <f>('[4]Bieu 57'!D298)/1000000</f>
        <v>563</v>
      </c>
      <c r="D298" s="470">
        <f>('[4]Bieu 57'!I298)/1000000</f>
        <v>563</v>
      </c>
      <c r="E298" s="468"/>
      <c r="F298" s="468"/>
      <c r="G298" s="468"/>
      <c r="H298" s="468"/>
      <c r="I298" s="468"/>
      <c r="J298" s="468"/>
      <c r="K298" s="468"/>
      <c r="L298" s="468"/>
      <c r="M298" s="468"/>
      <c r="N298" s="339">
        <f>D298</f>
        <v>563</v>
      </c>
      <c r="O298" s="468"/>
      <c r="P298" s="468"/>
      <c r="Q298" s="468"/>
      <c r="R298" s="468"/>
      <c r="S298" s="468"/>
      <c r="T298" s="468"/>
    </row>
    <row r="299" spans="1:20" ht="12.75">
      <c r="A299" s="423"/>
      <c r="B299" s="424" t="s">
        <v>1389</v>
      </c>
      <c r="C299" s="470">
        <f>('[4]Bieu 57'!D299)/1000000</f>
        <v>477.7</v>
      </c>
      <c r="D299" s="470">
        <f>('[4]Bieu 57'!I299)/1000000</f>
        <v>477.7</v>
      </c>
      <c r="E299" s="468"/>
      <c r="F299" s="468"/>
      <c r="G299" s="468"/>
      <c r="H299" s="468"/>
      <c r="I299" s="468"/>
      <c r="J299" s="468"/>
      <c r="K299" s="468"/>
      <c r="L299" s="468"/>
      <c r="M299" s="468"/>
      <c r="N299" s="339">
        <f>D299</f>
        <v>477.7</v>
      </c>
      <c r="O299" s="468"/>
      <c r="P299" s="468"/>
      <c r="Q299" s="468"/>
      <c r="R299" s="468"/>
      <c r="S299" s="468"/>
      <c r="T299" s="468"/>
    </row>
    <row r="300" spans="1:20" ht="25.5">
      <c r="A300" s="423"/>
      <c r="B300" s="452" t="s">
        <v>1390</v>
      </c>
      <c r="C300" s="470">
        <f>('[4]Bieu 57'!D300)/1000000</f>
        <v>60</v>
      </c>
      <c r="D300" s="470">
        <f>('[4]Bieu 57'!I300)/1000000</f>
        <v>60</v>
      </c>
      <c r="E300" s="468"/>
      <c r="F300" s="468"/>
      <c r="G300" s="468"/>
      <c r="H300" s="468"/>
      <c r="I300" s="468"/>
      <c r="J300" s="468"/>
      <c r="K300" s="468"/>
      <c r="L300" s="468"/>
      <c r="M300" s="468"/>
      <c r="N300" s="339">
        <f>D300</f>
        <v>60</v>
      </c>
      <c r="O300" s="468"/>
      <c r="P300" s="468"/>
      <c r="Q300" s="468"/>
      <c r="R300" s="468"/>
      <c r="S300" s="468"/>
      <c r="T300" s="468"/>
    </row>
    <row r="301" spans="1:20" s="422" customFormat="1" ht="12.75">
      <c r="A301" s="427" t="s">
        <v>1391</v>
      </c>
      <c r="B301" s="364" t="s">
        <v>1392</v>
      </c>
      <c r="C301" s="469">
        <f>SUM(C302:C313)</f>
        <v>12328.903</v>
      </c>
      <c r="D301" s="469">
        <f aca="true" t="shared" si="42" ref="D301:T301">SUM(D302:D313)</f>
        <v>12126.409</v>
      </c>
      <c r="E301" s="469">
        <f t="shared" si="42"/>
        <v>0</v>
      </c>
      <c r="F301" s="469">
        <f t="shared" si="42"/>
        <v>0</v>
      </c>
      <c r="G301" s="469">
        <f t="shared" si="42"/>
        <v>0</v>
      </c>
      <c r="H301" s="469">
        <f t="shared" si="42"/>
        <v>0</v>
      </c>
      <c r="I301" s="469">
        <f t="shared" si="42"/>
        <v>0</v>
      </c>
      <c r="J301" s="469">
        <f t="shared" si="42"/>
        <v>0</v>
      </c>
      <c r="K301" s="469">
        <f t="shared" si="42"/>
        <v>0</v>
      </c>
      <c r="L301" s="469">
        <f t="shared" si="42"/>
        <v>0</v>
      </c>
      <c r="M301" s="469">
        <f t="shared" si="42"/>
        <v>0</v>
      </c>
      <c r="N301" s="469">
        <f t="shared" si="42"/>
        <v>12126.409</v>
      </c>
      <c r="O301" s="469">
        <f t="shared" si="42"/>
        <v>0</v>
      </c>
      <c r="P301" s="469">
        <f t="shared" si="42"/>
        <v>0</v>
      </c>
      <c r="Q301" s="469">
        <f t="shared" si="42"/>
        <v>0</v>
      </c>
      <c r="R301" s="469">
        <f t="shared" si="42"/>
        <v>0</v>
      </c>
      <c r="S301" s="469">
        <f t="shared" si="42"/>
        <v>0</v>
      </c>
      <c r="T301" s="469">
        <f t="shared" si="42"/>
        <v>0</v>
      </c>
    </row>
    <row r="302" spans="1:20" ht="12.75">
      <c r="A302" s="423">
        <v>1</v>
      </c>
      <c r="B302" s="424" t="s">
        <v>1242</v>
      </c>
      <c r="C302" s="470">
        <f>('[4]Bieu 57'!D302)/1000000</f>
        <v>3338.5</v>
      </c>
      <c r="D302" s="470">
        <f>('[4]Bieu 57'!I302)/1000000</f>
        <v>3338.5</v>
      </c>
      <c r="E302" s="468"/>
      <c r="F302" s="468"/>
      <c r="G302" s="468"/>
      <c r="H302" s="468"/>
      <c r="I302" s="468"/>
      <c r="J302" s="468"/>
      <c r="K302" s="468"/>
      <c r="L302" s="468"/>
      <c r="M302" s="468"/>
      <c r="N302" s="339">
        <f>D302</f>
        <v>3338.5</v>
      </c>
      <c r="O302" s="468"/>
      <c r="P302" s="468"/>
      <c r="Q302" s="468"/>
      <c r="R302" s="468"/>
      <c r="S302" s="468"/>
      <c r="T302" s="468"/>
    </row>
    <row r="303" spans="1:20" ht="12.75">
      <c r="A303" s="423">
        <v>2</v>
      </c>
      <c r="B303" s="424" t="s">
        <v>1393</v>
      </c>
      <c r="C303" s="470">
        <f>('[4]Bieu 57'!D303)/1000000</f>
        <v>0</v>
      </c>
      <c r="D303" s="470">
        <f>('[4]Bieu 57'!I303)/1000000</f>
        <v>0</v>
      </c>
      <c r="E303" s="468"/>
      <c r="F303" s="468"/>
      <c r="G303" s="468"/>
      <c r="H303" s="468"/>
      <c r="I303" s="468"/>
      <c r="J303" s="468"/>
      <c r="K303" s="468"/>
      <c r="L303" s="468"/>
      <c r="M303" s="468"/>
      <c r="N303" s="339">
        <f aca="true" t="shared" si="43" ref="N303:N313">D303</f>
        <v>0</v>
      </c>
      <c r="O303" s="468"/>
      <c r="P303" s="468"/>
      <c r="Q303" s="468"/>
      <c r="R303" s="468"/>
      <c r="S303" s="468"/>
      <c r="T303" s="468"/>
    </row>
    <row r="304" spans="1:20" ht="25.5">
      <c r="A304" s="423">
        <v>3</v>
      </c>
      <c r="B304" s="424" t="s">
        <v>1394</v>
      </c>
      <c r="C304" s="470">
        <f>('[4]Bieu 57'!D304)/1000000</f>
        <v>2841.487</v>
      </c>
      <c r="D304" s="470">
        <f>('[4]Bieu 57'!I304)/1000000</f>
        <v>2754.996</v>
      </c>
      <c r="E304" s="468"/>
      <c r="F304" s="468"/>
      <c r="G304" s="468"/>
      <c r="H304" s="468"/>
      <c r="I304" s="468"/>
      <c r="J304" s="468"/>
      <c r="K304" s="468"/>
      <c r="L304" s="468"/>
      <c r="M304" s="468"/>
      <c r="N304" s="339">
        <f t="shared" si="43"/>
        <v>2754.996</v>
      </c>
      <c r="O304" s="468"/>
      <c r="P304" s="468"/>
      <c r="Q304" s="468"/>
      <c r="R304" s="468"/>
      <c r="S304" s="468"/>
      <c r="T304" s="468"/>
    </row>
    <row r="305" spans="1:20" ht="25.5">
      <c r="A305" s="423">
        <v>4</v>
      </c>
      <c r="B305" s="424" t="s">
        <v>1243</v>
      </c>
      <c r="C305" s="470">
        <f>('[4]Bieu 57'!D305)/1000000</f>
        <v>0</v>
      </c>
      <c r="D305" s="470">
        <f>('[4]Bieu 57'!I305)/1000000</f>
        <v>0</v>
      </c>
      <c r="E305" s="468"/>
      <c r="F305" s="468"/>
      <c r="G305" s="468"/>
      <c r="H305" s="468"/>
      <c r="I305" s="468"/>
      <c r="J305" s="468"/>
      <c r="K305" s="468"/>
      <c r="L305" s="468"/>
      <c r="M305" s="468"/>
      <c r="N305" s="339">
        <f t="shared" si="43"/>
        <v>0</v>
      </c>
      <c r="O305" s="468"/>
      <c r="P305" s="468"/>
      <c r="Q305" s="468"/>
      <c r="R305" s="468"/>
      <c r="S305" s="468"/>
      <c r="T305" s="468"/>
    </row>
    <row r="306" spans="1:20" ht="25.5">
      <c r="A306" s="423">
        <v>5</v>
      </c>
      <c r="B306" s="424" t="s">
        <v>1244</v>
      </c>
      <c r="C306" s="470">
        <f>('[4]Bieu 57'!D306)/1000000</f>
        <v>557.756</v>
      </c>
      <c r="D306" s="470">
        <f>('[4]Bieu 57'!I306)/1000000</f>
        <v>557.756</v>
      </c>
      <c r="E306" s="468"/>
      <c r="F306" s="468"/>
      <c r="G306" s="468"/>
      <c r="H306" s="468"/>
      <c r="I306" s="468"/>
      <c r="J306" s="468"/>
      <c r="K306" s="468"/>
      <c r="L306" s="468"/>
      <c r="M306" s="468"/>
      <c r="N306" s="339">
        <f t="shared" si="43"/>
        <v>557.756</v>
      </c>
      <c r="O306" s="468"/>
      <c r="P306" s="468"/>
      <c r="Q306" s="468"/>
      <c r="R306" s="468"/>
      <c r="S306" s="468"/>
      <c r="T306" s="468"/>
    </row>
    <row r="307" spans="1:20" ht="12.75">
      <c r="A307" s="423">
        <v>6</v>
      </c>
      <c r="B307" s="424" t="s">
        <v>1395</v>
      </c>
      <c r="C307" s="470">
        <f>('[4]Bieu 57'!D307)/1000000</f>
        <v>2689.11</v>
      </c>
      <c r="D307" s="470">
        <f>('[4]Bieu 57'!I307)/1000000</f>
        <v>2613.606</v>
      </c>
      <c r="E307" s="468"/>
      <c r="F307" s="468"/>
      <c r="G307" s="468"/>
      <c r="H307" s="468"/>
      <c r="I307" s="468"/>
      <c r="J307" s="468"/>
      <c r="K307" s="468"/>
      <c r="L307" s="468"/>
      <c r="M307" s="468"/>
      <c r="N307" s="339">
        <f t="shared" si="43"/>
        <v>2613.606</v>
      </c>
      <c r="O307" s="468"/>
      <c r="P307" s="468"/>
      <c r="Q307" s="468"/>
      <c r="R307" s="468"/>
      <c r="S307" s="468"/>
      <c r="T307" s="468"/>
    </row>
    <row r="308" spans="1:20" ht="25.5">
      <c r="A308" s="423">
        <v>7</v>
      </c>
      <c r="B308" s="424" t="s">
        <v>1245</v>
      </c>
      <c r="C308" s="470">
        <f>('[4]Bieu 57'!D308)/1000000</f>
        <v>1381.5</v>
      </c>
      <c r="D308" s="470">
        <f>('[4]Bieu 57'!I308)/1000000</f>
        <v>1346.571</v>
      </c>
      <c r="E308" s="468"/>
      <c r="F308" s="468"/>
      <c r="G308" s="468"/>
      <c r="H308" s="468"/>
      <c r="I308" s="468"/>
      <c r="J308" s="468"/>
      <c r="K308" s="468"/>
      <c r="L308" s="468"/>
      <c r="M308" s="468"/>
      <c r="N308" s="339">
        <f t="shared" si="43"/>
        <v>1346.571</v>
      </c>
      <c r="O308" s="468"/>
      <c r="P308" s="468"/>
      <c r="Q308" s="468"/>
      <c r="R308" s="468"/>
      <c r="S308" s="468"/>
      <c r="T308" s="468"/>
    </row>
    <row r="309" spans="1:20" ht="12.75">
      <c r="A309" s="423">
        <v>8</v>
      </c>
      <c r="B309" s="438" t="s">
        <v>1396</v>
      </c>
      <c r="C309" s="470">
        <f>('[4]Bieu 57'!D309)/1000000</f>
        <v>387</v>
      </c>
      <c r="D309" s="470">
        <f>('[4]Bieu 57'!I309)/1000000</f>
        <v>387</v>
      </c>
      <c r="E309" s="468"/>
      <c r="F309" s="468"/>
      <c r="G309" s="468"/>
      <c r="H309" s="468"/>
      <c r="I309" s="468"/>
      <c r="J309" s="468"/>
      <c r="K309" s="468"/>
      <c r="L309" s="468"/>
      <c r="M309" s="468"/>
      <c r="N309" s="339">
        <f t="shared" si="43"/>
        <v>387</v>
      </c>
      <c r="O309" s="468"/>
      <c r="P309" s="468"/>
      <c r="Q309" s="468"/>
      <c r="R309" s="468"/>
      <c r="S309" s="468"/>
      <c r="T309" s="468"/>
    </row>
    <row r="310" spans="1:20" ht="25.5">
      <c r="A310" s="423">
        <v>9</v>
      </c>
      <c r="B310" s="453" t="s">
        <v>1397</v>
      </c>
      <c r="C310" s="470">
        <f>('[4]Bieu 57'!D310)/1000000</f>
        <v>788</v>
      </c>
      <c r="D310" s="470">
        <f>('[4]Bieu 57'!I310)/1000000</f>
        <v>788</v>
      </c>
      <c r="E310" s="468"/>
      <c r="F310" s="468"/>
      <c r="G310" s="468"/>
      <c r="H310" s="468"/>
      <c r="I310" s="468"/>
      <c r="J310" s="468"/>
      <c r="K310" s="468"/>
      <c r="L310" s="468"/>
      <c r="M310" s="468"/>
      <c r="N310" s="339">
        <f t="shared" si="43"/>
        <v>788</v>
      </c>
      <c r="O310" s="468"/>
      <c r="P310" s="468"/>
      <c r="Q310" s="468"/>
      <c r="R310" s="468"/>
      <c r="S310" s="468"/>
      <c r="T310" s="468"/>
    </row>
    <row r="311" spans="1:20" ht="25.5">
      <c r="A311" s="423">
        <v>10</v>
      </c>
      <c r="B311" s="428" t="s">
        <v>1398</v>
      </c>
      <c r="C311" s="470">
        <f>('[4]Bieu 57'!D311)/1000000</f>
        <v>58.5</v>
      </c>
      <c r="D311" s="470">
        <f>('[4]Bieu 57'!I311)/1000000</f>
        <v>52.93</v>
      </c>
      <c r="E311" s="468"/>
      <c r="F311" s="468"/>
      <c r="G311" s="468"/>
      <c r="H311" s="468"/>
      <c r="I311" s="468"/>
      <c r="J311" s="468"/>
      <c r="K311" s="468"/>
      <c r="L311" s="468"/>
      <c r="M311" s="468"/>
      <c r="N311" s="339">
        <f t="shared" si="43"/>
        <v>52.93</v>
      </c>
      <c r="O311" s="468"/>
      <c r="P311" s="468"/>
      <c r="Q311" s="468"/>
      <c r="R311" s="468"/>
      <c r="S311" s="468"/>
      <c r="T311" s="468"/>
    </row>
    <row r="312" spans="1:20" ht="25.5">
      <c r="A312" s="423">
        <v>11</v>
      </c>
      <c r="B312" s="428" t="s">
        <v>1399</v>
      </c>
      <c r="C312" s="470">
        <f>('[4]Bieu 57'!D312)/1000000</f>
        <v>189</v>
      </c>
      <c r="D312" s="470">
        <f>('[4]Bieu 57'!I312)/1000000</f>
        <v>189</v>
      </c>
      <c r="E312" s="468"/>
      <c r="F312" s="468"/>
      <c r="G312" s="468"/>
      <c r="H312" s="468"/>
      <c r="I312" s="468"/>
      <c r="J312" s="468"/>
      <c r="K312" s="468"/>
      <c r="L312" s="468"/>
      <c r="M312" s="468"/>
      <c r="N312" s="339">
        <f t="shared" si="43"/>
        <v>189</v>
      </c>
      <c r="O312" s="468"/>
      <c r="P312" s="468"/>
      <c r="Q312" s="468"/>
      <c r="R312" s="468"/>
      <c r="S312" s="468"/>
      <c r="T312" s="468"/>
    </row>
    <row r="313" spans="1:20" ht="25.5">
      <c r="A313" s="423">
        <v>12</v>
      </c>
      <c r="B313" s="428" t="s">
        <v>1400</v>
      </c>
      <c r="C313" s="470">
        <f>('[4]Bieu 57'!D313)/1000000</f>
        <v>98.05</v>
      </c>
      <c r="D313" s="470">
        <f>('[4]Bieu 57'!I313)/1000000</f>
        <v>98.05</v>
      </c>
      <c r="E313" s="468"/>
      <c r="F313" s="468"/>
      <c r="G313" s="468"/>
      <c r="H313" s="468"/>
      <c r="I313" s="468"/>
      <c r="J313" s="468"/>
      <c r="K313" s="468"/>
      <c r="L313" s="468"/>
      <c r="M313" s="468"/>
      <c r="N313" s="339">
        <f t="shared" si="43"/>
        <v>98.05</v>
      </c>
      <c r="O313" s="468"/>
      <c r="P313" s="468"/>
      <c r="Q313" s="468"/>
      <c r="R313" s="468"/>
      <c r="S313" s="468"/>
      <c r="T313" s="468"/>
    </row>
    <row r="314" spans="1:20" s="422" customFormat="1" ht="38.25">
      <c r="A314" s="427" t="s">
        <v>1401</v>
      </c>
      <c r="B314" s="364" t="s">
        <v>1402</v>
      </c>
      <c r="C314" s="469">
        <f>C315+C360+C370</f>
        <v>334703.16668399994</v>
      </c>
      <c r="D314" s="469">
        <f>D315+D360+D370</f>
        <v>329326.417658</v>
      </c>
      <c r="E314" s="469">
        <f aca="true" t="shared" si="44" ref="E314:T314">E315+E360+E370</f>
        <v>0</v>
      </c>
      <c r="F314" s="469">
        <f t="shared" si="44"/>
        <v>0</v>
      </c>
      <c r="G314" s="469">
        <f t="shared" si="44"/>
        <v>0</v>
      </c>
      <c r="H314" s="469">
        <f t="shared" si="44"/>
        <v>0</v>
      </c>
      <c r="I314" s="469">
        <f t="shared" si="44"/>
        <v>0</v>
      </c>
      <c r="J314" s="469">
        <f t="shared" si="44"/>
        <v>0</v>
      </c>
      <c r="K314" s="469">
        <f t="shared" si="44"/>
        <v>0</v>
      </c>
      <c r="L314" s="469">
        <f t="shared" si="44"/>
        <v>0</v>
      </c>
      <c r="M314" s="469">
        <f t="shared" si="44"/>
        <v>0</v>
      </c>
      <c r="N314" s="469">
        <f t="shared" si="44"/>
        <v>0</v>
      </c>
      <c r="O314" s="469">
        <f t="shared" si="44"/>
        <v>0</v>
      </c>
      <c r="P314" s="469">
        <f t="shared" si="44"/>
        <v>0</v>
      </c>
      <c r="Q314" s="469">
        <f t="shared" si="44"/>
        <v>329326.417658</v>
      </c>
      <c r="R314" s="469">
        <f t="shared" si="44"/>
        <v>0</v>
      </c>
      <c r="S314" s="469">
        <f t="shared" si="44"/>
        <v>0</v>
      </c>
      <c r="T314" s="469">
        <f t="shared" si="44"/>
        <v>0</v>
      </c>
    </row>
    <row r="315" spans="1:20" s="422" customFormat="1" ht="12.75">
      <c r="A315" s="427" t="s">
        <v>92</v>
      </c>
      <c r="B315" s="454" t="s">
        <v>1403</v>
      </c>
      <c r="C315" s="469">
        <f>SUM(C316:C346)+C356+C357+C358+C359</f>
        <v>212900.86902899994</v>
      </c>
      <c r="D315" s="469">
        <f>SUM(D316:D346)+D356+D357+D358+D359</f>
        <v>208905.46725799996</v>
      </c>
      <c r="E315" s="469">
        <f aca="true" t="shared" si="45" ref="E315:T315">SUM(E316:E346)+E356+E357+E358+E359</f>
        <v>0</v>
      </c>
      <c r="F315" s="469">
        <f t="shared" si="45"/>
        <v>0</v>
      </c>
      <c r="G315" s="469">
        <f t="shared" si="45"/>
        <v>0</v>
      </c>
      <c r="H315" s="469">
        <f t="shared" si="45"/>
        <v>0</v>
      </c>
      <c r="I315" s="469">
        <f t="shared" si="45"/>
        <v>0</v>
      </c>
      <c r="J315" s="469">
        <f t="shared" si="45"/>
        <v>0</v>
      </c>
      <c r="K315" s="469">
        <f t="shared" si="45"/>
        <v>0</v>
      </c>
      <c r="L315" s="469">
        <f t="shared" si="45"/>
        <v>0</v>
      </c>
      <c r="M315" s="469">
        <f t="shared" si="45"/>
        <v>0</v>
      </c>
      <c r="N315" s="469">
        <f t="shared" si="45"/>
        <v>0</v>
      </c>
      <c r="O315" s="469">
        <f t="shared" si="45"/>
        <v>0</v>
      </c>
      <c r="P315" s="469">
        <f t="shared" si="45"/>
        <v>0</v>
      </c>
      <c r="Q315" s="469">
        <f t="shared" si="45"/>
        <v>208905.46725799996</v>
      </c>
      <c r="R315" s="469">
        <f t="shared" si="45"/>
        <v>0</v>
      </c>
      <c r="S315" s="469">
        <f t="shared" si="45"/>
        <v>0</v>
      </c>
      <c r="T315" s="469">
        <f t="shared" si="45"/>
        <v>0</v>
      </c>
    </row>
    <row r="316" spans="1:20" ht="12.75">
      <c r="A316" s="429">
        <v>1</v>
      </c>
      <c r="B316" s="455" t="s">
        <v>1404</v>
      </c>
      <c r="C316" s="470">
        <f>('[4]Bieu 57'!D316)/1000000</f>
        <v>4521</v>
      </c>
      <c r="D316" s="470">
        <f>('[4]Bieu 57'!I316)/1000000</f>
        <v>4521</v>
      </c>
      <c r="E316" s="468"/>
      <c r="F316" s="468"/>
      <c r="G316" s="468"/>
      <c r="H316" s="468"/>
      <c r="I316" s="468"/>
      <c r="J316" s="468"/>
      <c r="K316" s="468"/>
      <c r="L316" s="468"/>
      <c r="M316" s="468"/>
      <c r="N316" s="468"/>
      <c r="O316" s="468"/>
      <c r="P316" s="468"/>
      <c r="Q316" s="339">
        <f>D316</f>
        <v>4521</v>
      </c>
      <c r="R316" s="468"/>
      <c r="S316" s="468"/>
      <c r="T316" s="468"/>
    </row>
    <row r="317" spans="1:20" ht="12.75">
      <c r="A317" s="429">
        <v>2</v>
      </c>
      <c r="B317" s="455" t="s">
        <v>1405</v>
      </c>
      <c r="C317" s="470">
        <f>('[4]Bieu 57'!D317)/1000000</f>
        <v>5036.163</v>
      </c>
      <c r="D317" s="470">
        <f>('[4]Bieu 57'!I317)/1000000</f>
        <v>5025.016</v>
      </c>
      <c r="E317" s="468"/>
      <c r="F317" s="468"/>
      <c r="G317" s="468"/>
      <c r="H317" s="468"/>
      <c r="I317" s="468"/>
      <c r="J317" s="468"/>
      <c r="K317" s="468"/>
      <c r="L317" s="468"/>
      <c r="M317" s="468"/>
      <c r="N317" s="468"/>
      <c r="O317" s="468"/>
      <c r="P317" s="468"/>
      <c r="Q317" s="339">
        <f aca="true" t="shared" si="46" ref="Q317:Q380">D317</f>
        <v>5025.016</v>
      </c>
      <c r="R317" s="468"/>
      <c r="S317" s="468"/>
      <c r="T317" s="468"/>
    </row>
    <row r="318" spans="1:20" ht="12.75">
      <c r="A318" s="429">
        <v>3</v>
      </c>
      <c r="B318" s="455" t="s">
        <v>1406</v>
      </c>
      <c r="C318" s="470">
        <f>('[4]Bieu 57'!D318)/1000000</f>
        <v>7528.468</v>
      </c>
      <c r="D318" s="470">
        <f>('[4]Bieu 57'!I318)/1000000</f>
        <v>7528.468</v>
      </c>
      <c r="E318" s="468"/>
      <c r="F318" s="468"/>
      <c r="G318" s="468"/>
      <c r="H318" s="468"/>
      <c r="I318" s="468"/>
      <c r="J318" s="468"/>
      <c r="K318" s="468"/>
      <c r="L318" s="468"/>
      <c r="M318" s="468"/>
      <c r="N318" s="468"/>
      <c r="O318" s="468"/>
      <c r="P318" s="468"/>
      <c r="Q318" s="339">
        <f t="shared" si="46"/>
        <v>7528.468</v>
      </c>
      <c r="R318" s="468"/>
      <c r="S318" s="468"/>
      <c r="T318" s="468"/>
    </row>
    <row r="319" spans="1:20" ht="12.75">
      <c r="A319" s="429">
        <v>4</v>
      </c>
      <c r="B319" s="455" t="s">
        <v>1407</v>
      </c>
      <c r="C319" s="470">
        <f>('[4]Bieu 57'!D319)/1000000</f>
        <v>7937.5</v>
      </c>
      <c r="D319" s="470">
        <f>('[4]Bieu 57'!I319)/1000000</f>
        <v>6119.6888</v>
      </c>
      <c r="E319" s="468"/>
      <c r="F319" s="468"/>
      <c r="G319" s="468"/>
      <c r="H319" s="468"/>
      <c r="I319" s="468"/>
      <c r="J319" s="468"/>
      <c r="K319" s="468"/>
      <c r="L319" s="468"/>
      <c r="M319" s="468"/>
      <c r="N319" s="468"/>
      <c r="O319" s="468"/>
      <c r="P319" s="468"/>
      <c r="Q319" s="339">
        <f t="shared" si="46"/>
        <v>6119.6888</v>
      </c>
      <c r="R319" s="468"/>
      <c r="S319" s="468"/>
      <c r="T319" s="468"/>
    </row>
    <row r="320" spans="1:20" ht="12.75">
      <c r="A320" s="429">
        <v>5</v>
      </c>
      <c r="B320" s="455" t="s">
        <v>1408</v>
      </c>
      <c r="C320" s="470">
        <f>('[4]Bieu 57'!D320)/1000000</f>
        <v>7979.513</v>
      </c>
      <c r="D320" s="470">
        <f>('[4]Bieu 57'!I320)/1000000</f>
        <v>7979.513</v>
      </c>
      <c r="E320" s="468"/>
      <c r="F320" s="468"/>
      <c r="G320" s="468"/>
      <c r="H320" s="468"/>
      <c r="I320" s="468"/>
      <c r="J320" s="468"/>
      <c r="K320" s="468"/>
      <c r="L320" s="468"/>
      <c r="M320" s="468"/>
      <c r="N320" s="468"/>
      <c r="O320" s="468"/>
      <c r="P320" s="468"/>
      <c r="Q320" s="339">
        <f t="shared" si="46"/>
        <v>7979.513</v>
      </c>
      <c r="R320" s="468"/>
      <c r="S320" s="468"/>
      <c r="T320" s="468"/>
    </row>
    <row r="321" spans="1:20" ht="12.75">
      <c r="A321" s="429">
        <v>6</v>
      </c>
      <c r="B321" s="455" t="s">
        <v>427</v>
      </c>
      <c r="C321" s="470">
        <f>('[4]Bieu 57'!D321)/1000000</f>
        <v>3923.9</v>
      </c>
      <c r="D321" s="470">
        <f>('[4]Bieu 57'!I321)/1000000</f>
        <v>3781.123246</v>
      </c>
      <c r="E321" s="468"/>
      <c r="F321" s="468"/>
      <c r="G321" s="468"/>
      <c r="H321" s="468"/>
      <c r="I321" s="468"/>
      <c r="J321" s="468"/>
      <c r="K321" s="468"/>
      <c r="L321" s="468"/>
      <c r="M321" s="468"/>
      <c r="N321" s="468"/>
      <c r="O321" s="468"/>
      <c r="P321" s="468"/>
      <c r="Q321" s="339">
        <f t="shared" si="46"/>
        <v>3781.123246</v>
      </c>
      <c r="R321" s="468"/>
      <c r="S321" s="468"/>
      <c r="T321" s="468"/>
    </row>
    <row r="322" spans="1:20" ht="12.75">
      <c r="A322" s="429">
        <v>7</v>
      </c>
      <c r="B322" s="455" t="s">
        <v>394</v>
      </c>
      <c r="C322" s="470">
        <f>('[4]Bieu 57'!D322)/1000000</f>
        <v>4841.07</v>
      </c>
      <c r="D322" s="470">
        <f>('[4]Bieu 57'!I322)/1000000</f>
        <v>4783.07</v>
      </c>
      <c r="E322" s="468"/>
      <c r="F322" s="468"/>
      <c r="G322" s="468"/>
      <c r="H322" s="468"/>
      <c r="I322" s="468"/>
      <c r="J322" s="468"/>
      <c r="K322" s="468"/>
      <c r="L322" s="468"/>
      <c r="M322" s="468"/>
      <c r="N322" s="468"/>
      <c r="O322" s="468"/>
      <c r="P322" s="468"/>
      <c r="Q322" s="339">
        <f t="shared" si="46"/>
        <v>4783.07</v>
      </c>
      <c r="R322" s="468"/>
      <c r="S322" s="468"/>
      <c r="T322" s="468"/>
    </row>
    <row r="323" spans="1:20" ht="12.75">
      <c r="A323" s="429">
        <v>8</v>
      </c>
      <c r="B323" s="455" t="s">
        <v>1409</v>
      </c>
      <c r="C323" s="470">
        <f>('[4]Bieu 57'!D323)/1000000</f>
        <v>5561.913</v>
      </c>
      <c r="D323" s="470">
        <f>('[4]Bieu 57'!I323)/1000000</f>
        <v>5561.913</v>
      </c>
      <c r="E323" s="468"/>
      <c r="F323" s="468"/>
      <c r="G323" s="468"/>
      <c r="H323" s="468"/>
      <c r="I323" s="468"/>
      <c r="J323" s="468"/>
      <c r="K323" s="468"/>
      <c r="L323" s="468"/>
      <c r="M323" s="468"/>
      <c r="N323" s="468"/>
      <c r="O323" s="468"/>
      <c r="P323" s="468"/>
      <c r="Q323" s="339">
        <f t="shared" si="46"/>
        <v>5561.913</v>
      </c>
      <c r="R323" s="468"/>
      <c r="S323" s="468"/>
      <c r="T323" s="468"/>
    </row>
    <row r="324" spans="1:20" ht="12.75">
      <c r="A324" s="429">
        <v>9</v>
      </c>
      <c r="B324" s="455" t="s">
        <v>1410</v>
      </c>
      <c r="C324" s="470">
        <f>('[4]Bieu 57'!D324)/1000000</f>
        <v>3874.1698</v>
      </c>
      <c r="D324" s="470">
        <f>('[4]Bieu 57'!I324)/1000000</f>
        <v>3847.5648</v>
      </c>
      <c r="E324" s="468"/>
      <c r="F324" s="468"/>
      <c r="G324" s="468"/>
      <c r="H324" s="468"/>
      <c r="I324" s="468"/>
      <c r="J324" s="468"/>
      <c r="K324" s="468"/>
      <c r="L324" s="468"/>
      <c r="M324" s="468"/>
      <c r="N324" s="468"/>
      <c r="O324" s="468"/>
      <c r="P324" s="468"/>
      <c r="Q324" s="339">
        <f t="shared" si="46"/>
        <v>3847.5648</v>
      </c>
      <c r="R324" s="468"/>
      <c r="S324" s="468"/>
      <c r="T324" s="468"/>
    </row>
    <row r="325" spans="1:20" ht="12.75">
      <c r="A325" s="429">
        <v>10</v>
      </c>
      <c r="B325" s="455" t="s">
        <v>407</v>
      </c>
      <c r="C325" s="470">
        <f>('[4]Bieu 57'!D325)/1000000</f>
        <v>4503</v>
      </c>
      <c r="D325" s="470">
        <f>('[4]Bieu 57'!I325)/1000000</f>
        <v>4503</v>
      </c>
      <c r="E325" s="468"/>
      <c r="F325" s="468"/>
      <c r="G325" s="468"/>
      <c r="H325" s="468"/>
      <c r="I325" s="468"/>
      <c r="J325" s="468"/>
      <c r="K325" s="468"/>
      <c r="L325" s="468"/>
      <c r="M325" s="468"/>
      <c r="N325" s="468"/>
      <c r="O325" s="468"/>
      <c r="P325" s="468"/>
      <c r="Q325" s="339">
        <f t="shared" si="46"/>
        <v>4503</v>
      </c>
      <c r="R325" s="468"/>
      <c r="S325" s="468"/>
      <c r="T325" s="468"/>
    </row>
    <row r="326" spans="1:20" ht="12.75">
      <c r="A326" s="429">
        <v>11</v>
      </c>
      <c r="B326" s="455" t="s">
        <v>1411</v>
      </c>
      <c r="C326" s="470">
        <f>('[4]Bieu 57'!D326)/1000000</f>
        <v>3493.484</v>
      </c>
      <c r="D326" s="470">
        <f>('[4]Bieu 57'!I326)/1000000</f>
        <v>3327.347</v>
      </c>
      <c r="E326" s="468"/>
      <c r="F326" s="468"/>
      <c r="G326" s="468"/>
      <c r="H326" s="468"/>
      <c r="I326" s="468"/>
      <c r="J326" s="468"/>
      <c r="K326" s="468"/>
      <c r="L326" s="468"/>
      <c r="M326" s="468"/>
      <c r="N326" s="468"/>
      <c r="O326" s="468"/>
      <c r="P326" s="468"/>
      <c r="Q326" s="339">
        <f t="shared" si="46"/>
        <v>3327.347</v>
      </c>
      <c r="R326" s="468"/>
      <c r="S326" s="468"/>
      <c r="T326" s="468"/>
    </row>
    <row r="327" spans="1:20" ht="12.75">
      <c r="A327" s="429">
        <v>12</v>
      </c>
      <c r="B327" s="455" t="s">
        <v>1412</v>
      </c>
      <c r="C327" s="470">
        <f>('[4]Bieu 57'!D327)/1000000</f>
        <v>1353.503</v>
      </c>
      <c r="D327" s="470">
        <f>('[4]Bieu 57'!I327)/1000000</f>
        <v>1353.503</v>
      </c>
      <c r="E327" s="468"/>
      <c r="F327" s="468"/>
      <c r="G327" s="468"/>
      <c r="H327" s="468"/>
      <c r="I327" s="468"/>
      <c r="J327" s="468"/>
      <c r="K327" s="468"/>
      <c r="L327" s="468"/>
      <c r="M327" s="468"/>
      <c r="N327" s="468"/>
      <c r="O327" s="468"/>
      <c r="P327" s="468"/>
      <c r="Q327" s="339">
        <f t="shared" si="46"/>
        <v>1353.503</v>
      </c>
      <c r="R327" s="468"/>
      <c r="S327" s="468"/>
      <c r="T327" s="468"/>
    </row>
    <row r="328" spans="1:20" ht="12.75">
      <c r="A328" s="429">
        <v>13</v>
      </c>
      <c r="B328" s="455" t="s">
        <v>1413</v>
      </c>
      <c r="C328" s="470">
        <f>('[4]Bieu 57'!D328)/1000000</f>
        <v>5326.603</v>
      </c>
      <c r="D328" s="470">
        <f>('[4]Bieu 57'!I328)/1000000</f>
        <v>5326.603</v>
      </c>
      <c r="E328" s="468"/>
      <c r="F328" s="468"/>
      <c r="G328" s="468"/>
      <c r="H328" s="468"/>
      <c r="I328" s="468"/>
      <c r="J328" s="468"/>
      <c r="K328" s="468"/>
      <c r="L328" s="468"/>
      <c r="M328" s="468"/>
      <c r="N328" s="468"/>
      <c r="O328" s="468"/>
      <c r="P328" s="468"/>
      <c r="Q328" s="339">
        <f t="shared" si="46"/>
        <v>5326.603</v>
      </c>
      <c r="R328" s="468"/>
      <c r="S328" s="468"/>
      <c r="T328" s="468"/>
    </row>
    <row r="329" spans="1:20" ht="12.75">
      <c r="A329" s="429">
        <v>14</v>
      </c>
      <c r="B329" s="455" t="s">
        <v>1414</v>
      </c>
      <c r="C329" s="470">
        <f>('[4]Bieu 57'!D329)/1000000</f>
        <v>3575.682</v>
      </c>
      <c r="D329" s="470">
        <f>('[4]Bieu 57'!I329)/1000000</f>
        <v>3575.682</v>
      </c>
      <c r="E329" s="468"/>
      <c r="F329" s="468"/>
      <c r="G329" s="468"/>
      <c r="H329" s="468"/>
      <c r="I329" s="468"/>
      <c r="J329" s="468"/>
      <c r="K329" s="468"/>
      <c r="L329" s="468"/>
      <c r="M329" s="468"/>
      <c r="N329" s="468"/>
      <c r="O329" s="468"/>
      <c r="P329" s="468"/>
      <c r="Q329" s="339">
        <f t="shared" si="46"/>
        <v>3575.682</v>
      </c>
      <c r="R329" s="468"/>
      <c r="S329" s="468"/>
      <c r="T329" s="468"/>
    </row>
    <row r="330" spans="1:20" ht="12.75">
      <c r="A330" s="429">
        <v>15</v>
      </c>
      <c r="B330" s="455" t="s">
        <v>1415</v>
      </c>
      <c r="C330" s="470">
        <f>('[4]Bieu 57'!D330)/1000000</f>
        <v>6483.169</v>
      </c>
      <c r="D330" s="470">
        <f>('[4]Bieu 57'!I330)/1000000</f>
        <v>6183.169</v>
      </c>
      <c r="E330" s="468"/>
      <c r="F330" s="468"/>
      <c r="G330" s="468"/>
      <c r="H330" s="468"/>
      <c r="I330" s="468"/>
      <c r="J330" s="468"/>
      <c r="K330" s="468"/>
      <c r="L330" s="468"/>
      <c r="M330" s="468"/>
      <c r="N330" s="468"/>
      <c r="O330" s="468"/>
      <c r="P330" s="468"/>
      <c r="Q330" s="339">
        <f t="shared" si="46"/>
        <v>6183.169</v>
      </c>
      <c r="R330" s="468"/>
      <c r="S330" s="468"/>
      <c r="T330" s="468"/>
    </row>
    <row r="331" spans="1:20" ht="12.75">
      <c r="A331" s="429">
        <v>16</v>
      </c>
      <c r="B331" s="455" t="s">
        <v>1416</v>
      </c>
      <c r="C331" s="470">
        <f>('[4]Bieu 57'!D331)/1000000</f>
        <v>5608.953</v>
      </c>
      <c r="D331" s="470">
        <f>('[4]Bieu 57'!I331)/1000000</f>
        <v>5460.052683</v>
      </c>
      <c r="E331" s="468"/>
      <c r="F331" s="468"/>
      <c r="G331" s="468"/>
      <c r="H331" s="468"/>
      <c r="I331" s="468"/>
      <c r="J331" s="468"/>
      <c r="K331" s="468"/>
      <c r="L331" s="468"/>
      <c r="M331" s="468"/>
      <c r="N331" s="468"/>
      <c r="O331" s="468"/>
      <c r="P331" s="468"/>
      <c r="Q331" s="339">
        <f t="shared" si="46"/>
        <v>5460.052683</v>
      </c>
      <c r="R331" s="468"/>
      <c r="S331" s="468"/>
      <c r="T331" s="468"/>
    </row>
    <row r="332" spans="1:20" ht="12.75">
      <c r="A332" s="429">
        <v>18</v>
      </c>
      <c r="B332" s="455" t="s">
        <v>1417</v>
      </c>
      <c r="C332" s="470">
        <f>('[4]Bieu 57'!D332)/1000000</f>
        <v>8239.467</v>
      </c>
      <c r="D332" s="470">
        <f>('[4]Bieu 57'!I332)/1000000</f>
        <v>8239.467</v>
      </c>
      <c r="E332" s="468"/>
      <c r="F332" s="468"/>
      <c r="G332" s="468"/>
      <c r="H332" s="468"/>
      <c r="I332" s="468"/>
      <c r="J332" s="468"/>
      <c r="K332" s="468"/>
      <c r="L332" s="468"/>
      <c r="M332" s="468"/>
      <c r="N332" s="468"/>
      <c r="O332" s="468"/>
      <c r="P332" s="468"/>
      <c r="Q332" s="339">
        <f t="shared" si="46"/>
        <v>8239.467</v>
      </c>
      <c r="R332" s="468"/>
      <c r="S332" s="468"/>
      <c r="T332" s="468"/>
    </row>
    <row r="333" spans="1:20" ht="12.75">
      <c r="A333" s="429">
        <v>19</v>
      </c>
      <c r="B333" s="455" t="s">
        <v>1418</v>
      </c>
      <c r="C333" s="470">
        <f>('[4]Bieu 57'!D333)/1000000</f>
        <v>15131.199</v>
      </c>
      <c r="D333" s="470">
        <f>('[4]Bieu 57'!I333)/1000000</f>
        <v>15126.199</v>
      </c>
      <c r="E333" s="468"/>
      <c r="F333" s="468"/>
      <c r="G333" s="468"/>
      <c r="H333" s="468"/>
      <c r="I333" s="468"/>
      <c r="J333" s="468"/>
      <c r="K333" s="468"/>
      <c r="L333" s="468"/>
      <c r="M333" s="468"/>
      <c r="N333" s="468"/>
      <c r="O333" s="468"/>
      <c r="P333" s="468"/>
      <c r="Q333" s="339">
        <f t="shared" si="46"/>
        <v>15126.199</v>
      </c>
      <c r="R333" s="468"/>
      <c r="S333" s="468"/>
      <c r="T333" s="468"/>
    </row>
    <row r="334" spans="1:20" ht="12.75">
      <c r="A334" s="429">
        <v>20</v>
      </c>
      <c r="B334" s="455" t="s">
        <v>1419</v>
      </c>
      <c r="C334" s="470">
        <f>('[4]Bieu 57'!D334)/1000000</f>
        <v>200</v>
      </c>
      <c r="D334" s="470">
        <f>('[4]Bieu 57'!I334)/1000000</f>
        <v>200</v>
      </c>
      <c r="E334" s="468"/>
      <c r="F334" s="468"/>
      <c r="G334" s="468"/>
      <c r="H334" s="468"/>
      <c r="I334" s="468"/>
      <c r="J334" s="468"/>
      <c r="K334" s="468"/>
      <c r="L334" s="468"/>
      <c r="M334" s="468"/>
      <c r="N334" s="468"/>
      <c r="O334" s="468"/>
      <c r="P334" s="468"/>
      <c r="Q334" s="339">
        <f t="shared" si="46"/>
        <v>200</v>
      </c>
      <c r="R334" s="468"/>
      <c r="S334" s="468"/>
      <c r="T334" s="468"/>
    </row>
    <row r="335" spans="1:20" ht="12.75">
      <c r="A335" s="429">
        <v>21</v>
      </c>
      <c r="B335" s="455" t="s">
        <v>1420</v>
      </c>
      <c r="C335" s="470">
        <f>('[4]Bieu 57'!D335)/1000000</f>
        <v>22466.962</v>
      </c>
      <c r="D335" s="470">
        <f>('[4]Bieu 57'!I335)/1000000</f>
        <v>21158.962</v>
      </c>
      <c r="E335" s="468"/>
      <c r="F335" s="468"/>
      <c r="G335" s="468"/>
      <c r="H335" s="468"/>
      <c r="I335" s="468"/>
      <c r="J335" s="468"/>
      <c r="K335" s="468"/>
      <c r="L335" s="468"/>
      <c r="M335" s="468"/>
      <c r="N335" s="468"/>
      <c r="O335" s="468"/>
      <c r="P335" s="468"/>
      <c r="Q335" s="339">
        <f t="shared" si="46"/>
        <v>21158.962</v>
      </c>
      <c r="R335" s="468"/>
      <c r="S335" s="468"/>
      <c r="T335" s="468"/>
    </row>
    <row r="336" spans="1:20" ht="12.75">
      <c r="A336" s="429">
        <v>22</v>
      </c>
      <c r="B336" s="455" t="s">
        <v>1421</v>
      </c>
      <c r="C336" s="470">
        <f>('[4]Bieu 57'!D336)/1000000</f>
        <v>20623.357</v>
      </c>
      <c r="D336" s="470">
        <f>('[4]Bieu 57'!I336)/1000000</f>
        <v>20623.357</v>
      </c>
      <c r="E336" s="468"/>
      <c r="F336" s="468"/>
      <c r="G336" s="468"/>
      <c r="H336" s="468"/>
      <c r="I336" s="468"/>
      <c r="J336" s="468"/>
      <c r="K336" s="468"/>
      <c r="L336" s="468"/>
      <c r="M336" s="468"/>
      <c r="N336" s="468"/>
      <c r="O336" s="468"/>
      <c r="P336" s="468"/>
      <c r="Q336" s="339">
        <f t="shared" si="46"/>
        <v>20623.357</v>
      </c>
      <c r="R336" s="468"/>
      <c r="S336" s="468"/>
      <c r="T336" s="468"/>
    </row>
    <row r="337" spans="1:20" ht="12.75">
      <c r="A337" s="429">
        <v>23</v>
      </c>
      <c r="B337" s="455" t="s">
        <v>1422</v>
      </c>
      <c r="C337" s="470">
        <f>('[4]Bieu 57'!D337)/1000000</f>
        <v>4139.886</v>
      </c>
      <c r="D337" s="470">
        <f>('[4]Bieu 57'!I337)/1000000</f>
        <v>4139.886</v>
      </c>
      <c r="E337" s="468"/>
      <c r="F337" s="468"/>
      <c r="G337" s="468"/>
      <c r="H337" s="468"/>
      <c r="I337" s="468"/>
      <c r="J337" s="468"/>
      <c r="K337" s="468"/>
      <c r="L337" s="468"/>
      <c r="M337" s="468"/>
      <c r="N337" s="468"/>
      <c r="O337" s="468"/>
      <c r="P337" s="468"/>
      <c r="Q337" s="339">
        <f t="shared" si="46"/>
        <v>4139.886</v>
      </c>
      <c r="R337" s="468"/>
      <c r="S337" s="468"/>
      <c r="T337" s="468"/>
    </row>
    <row r="338" spans="1:20" ht="12.75">
      <c r="A338" s="429">
        <v>24</v>
      </c>
      <c r="B338" s="455" t="s">
        <v>1423</v>
      </c>
      <c r="C338" s="470">
        <f>('[4]Bieu 57'!D338)/1000000</f>
        <v>9665.262</v>
      </c>
      <c r="D338" s="470">
        <f>('[4]Bieu 57'!I338)/1000000</f>
        <v>9665.262</v>
      </c>
      <c r="E338" s="468"/>
      <c r="F338" s="468"/>
      <c r="G338" s="468"/>
      <c r="H338" s="468"/>
      <c r="I338" s="468"/>
      <c r="J338" s="468"/>
      <c r="K338" s="468"/>
      <c r="L338" s="468"/>
      <c r="M338" s="468"/>
      <c r="N338" s="468"/>
      <c r="O338" s="468"/>
      <c r="P338" s="468"/>
      <c r="Q338" s="339">
        <f t="shared" si="46"/>
        <v>9665.262</v>
      </c>
      <c r="R338" s="468"/>
      <c r="S338" s="468"/>
      <c r="T338" s="468"/>
    </row>
    <row r="339" spans="1:20" ht="12.75">
      <c r="A339" s="429">
        <v>25</v>
      </c>
      <c r="B339" s="455" t="s">
        <v>1424</v>
      </c>
      <c r="C339" s="470">
        <f>('[4]Bieu 57'!D339)/1000000</f>
        <v>5882.072</v>
      </c>
      <c r="D339" s="470">
        <f>('[4]Bieu 57'!I339)/1000000</f>
        <v>5882.072</v>
      </c>
      <c r="E339" s="468"/>
      <c r="F339" s="468"/>
      <c r="G339" s="468"/>
      <c r="H339" s="468"/>
      <c r="I339" s="468"/>
      <c r="J339" s="468"/>
      <c r="K339" s="468"/>
      <c r="L339" s="468"/>
      <c r="M339" s="468"/>
      <c r="N339" s="468"/>
      <c r="O339" s="468"/>
      <c r="P339" s="468"/>
      <c r="Q339" s="339">
        <f t="shared" si="46"/>
        <v>5882.072</v>
      </c>
      <c r="R339" s="468"/>
      <c r="S339" s="468"/>
      <c r="T339" s="468"/>
    </row>
    <row r="340" spans="1:20" ht="12.75">
      <c r="A340" s="429">
        <v>26</v>
      </c>
      <c r="B340" s="455" t="s">
        <v>1136</v>
      </c>
      <c r="C340" s="470">
        <f>('[4]Bieu 57'!D340)/1000000</f>
        <v>2102.001</v>
      </c>
      <c r="D340" s="470">
        <f>('[4]Bieu 57'!I340)/1000000</f>
        <v>2102.001</v>
      </c>
      <c r="E340" s="468"/>
      <c r="F340" s="468"/>
      <c r="G340" s="468"/>
      <c r="H340" s="468"/>
      <c r="I340" s="468"/>
      <c r="J340" s="468"/>
      <c r="K340" s="468"/>
      <c r="L340" s="468"/>
      <c r="M340" s="468"/>
      <c r="N340" s="468"/>
      <c r="O340" s="468"/>
      <c r="P340" s="468"/>
      <c r="Q340" s="339">
        <f t="shared" si="46"/>
        <v>2102.001</v>
      </c>
      <c r="R340" s="468"/>
      <c r="S340" s="468"/>
      <c r="T340" s="468"/>
    </row>
    <row r="341" spans="1:20" ht="12.75">
      <c r="A341" s="429">
        <v>27</v>
      </c>
      <c r="B341" s="455" t="s">
        <v>1425</v>
      </c>
      <c r="C341" s="470">
        <f>('[4]Bieu 57'!D341)/1000000</f>
        <v>1848.723</v>
      </c>
      <c r="D341" s="470">
        <f>('[4]Bieu 57'!I341)/1000000</f>
        <v>1848.723</v>
      </c>
      <c r="E341" s="468"/>
      <c r="F341" s="468"/>
      <c r="G341" s="468"/>
      <c r="H341" s="468"/>
      <c r="I341" s="468"/>
      <c r="J341" s="468"/>
      <c r="K341" s="468"/>
      <c r="L341" s="468"/>
      <c r="M341" s="468"/>
      <c r="N341" s="468"/>
      <c r="O341" s="468"/>
      <c r="P341" s="468"/>
      <c r="Q341" s="339">
        <f t="shared" si="46"/>
        <v>1848.723</v>
      </c>
      <c r="R341" s="468"/>
      <c r="S341" s="468"/>
      <c r="T341" s="468"/>
    </row>
    <row r="342" spans="1:20" ht="12.75">
      <c r="A342" s="429">
        <v>28</v>
      </c>
      <c r="B342" s="455" t="s">
        <v>1426</v>
      </c>
      <c r="C342" s="470">
        <f>('[4]Bieu 57'!D342)/1000000</f>
        <v>5369.887</v>
      </c>
      <c r="D342" s="470">
        <f>('[4]Bieu 57'!I342)/1000000</f>
        <v>5363.673</v>
      </c>
      <c r="E342" s="468"/>
      <c r="F342" s="468"/>
      <c r="G342" s="468"/>
      <c r="H342" s="468"/>
      <c r="I342" s="468"/>
      <c r="J342" s="468"/>
      <c r="K342" s="468"/>
      <c r="L342" s="468"/>
      <c r="M342" s="468"/>
      <c r="N342" s="468"/>
      <c r="O342" s="468"/>
      <c r="P342" s="468"/>
      <c r="Q342" s="339">
        <f t="shared" si="46"/>
        <v>5363.673</v>
      </c>
      <c r="R342" s="468"/>
      <c r="S342" s="468"/>
      <c r="T342" s="468"/>
    </row>
    <row r="343" spans="1:20" ht="12.75">
      <c r="A343" s="429">
        <v>29</v>
      </c>
      <c r="B343" s="455" t="s">
        <v>1427</v>
      </c>
      <c r="C343" s="470">
        <f>('[4]Bieu 57'!D343)/1000000</f>
        <v>1888.201</v>
      </c>
      <c r="D343" s="470">
        <f>('[4]Bieu 57'!I343)/1000000</f>
        <v>1888.201</v>
      </c>
      <c r="E343" s="468"/>
      <c r="F343" s="468"/>
      <c r="G343" s="468"/>
      <c r="H343" s="468"/>
      <c r="I343" s="468"/>
      <c r="J343" s="468"/>
      <c r="K343" s="468"/>
      <c r="L343" s="468"/>
      <c r="M343" s="468"/>
      <c r="N343" s="468"/>
      <c r="O343" s="468"/>
      <c r="P343" s="468"/>
      <c r="Q343" s="339">
        <f t="shared" si="46"/>
        <v>1888.201</v>
      </c>
      <c r="R343" s="468"/>
      <c r="S343" s="468"/>
      <c r="T343" s="468"/>
    </row>
    <row r="344" spans="1:20" ht="12.75">
      <c r="A344" s="429">
        <v>30</v>
      </c>
      <c r="B344" s="455" t="s">
        <v>1428</v>
      </c>
      <c r="C344" s="470">
        <f>('[4]Bieu 57'!D344)/1000000</f>
        <v>1664.761</v>
      </c>
      <c r="D344" s="470">
        <f>('[4]Bieu 57'!I344)/1000000</f>
        <v>1664.761</v>
      </c>
      <c r="E344" s="468"/>
      <c r="F344" s="468"/>
      <c r="G344" s="468"/>
      <c r="H344" s="468"/>
      <c r="I344" s="468"/>
      <c r="J344" s="468"/>
      <c r="K344" s="468"/>
      <c r="L344" s="468"/>
      <c r="M344" s="468"/>
      <c r="N344" s="468"/>
      <c r="O344" s="468"/>
      <c r="P344" s="468"/>
      <c r="Q344" s="339">
        <f t="shared" si="46"/>
        <v>1664.761</v>
      </c>
      <c r="R344" s="468"/>
      <c r="S344" s="468"/>
      <c r="T344" s="468"/>
    </row>
    <row r="345" spans="1:20" ht="12.75">
      <c r="A345" s="429">
        <v>31</v>
      </c>
      <c r="B345" s="455" t="s">
        <v>1429</v>
      </c>
      <c r="C345" s="470">
        <f>('[4]Bieu 57'!D345)/1000000</f>
        <v>1067.211</v>
      </c>
      <c r="D345" s="470">
        <f>('[4]Bieu 57'!I345)/1000000</f>
        <v>1063.578</v>
      </c>
      <c r="E345" s="468"/>
      <c r="F345" s="468"/>
      <c r="G345" s="468"/>
      <c r="H345" s="468"/>
      <c r="I345" s="468"/>
      <c r="J345" s="468"/>
      <c r="K345" s="468"/>
      <c r="L345" s="468"/>
      <c r="M345" s="468"/>
      <c r="N345" s="468"/>
      <c r="O345" s="468"/>
      <c r="P345" s="468"/>
      <c r="Q345" s="339">
        <f t="shared" si="46"/>
        <v>1063.578</v>
      </c>
      <c r="R345" s="468"/>
      <c r="S345" s="468"/>
      <c r="T345" s="468"/>
    </row>
    <row r="346" spans="1:20" ht="12.75">
      <c r="A346" s="429">
        <v>32</v>
      </c>
      <c r="B346" s="455" t="s">
        <v>1430</v>
      </c>
      <c r="C346" s="470">
        <f>('[4]Bieu 57'!D346)/1000000</f>
        <v>25540.209729</v>
      </c>
      <c r="D346" s="470">
        <f>('[4]Bieu 57'!I346)/1000000</f>
        <v>25540.209729</v>
      </c>
      <c r="E346" s="468"/>
      <c r="F346" s="468"/>
      <c r="G346" s="468"/>
      <c r="H346" s="468"/>
      <c r="I346" s="468"/>
      <c r="J346" s="468"/>
      <c r="K346" s="468"/>
      <c r="L346" s="468"/>
      <c r="M346" s="468"/>
      <c r="N346" s="468"/>
      <c r="O346" s="468"/>
      <c r="P346" s="468"/>
      <c r="Q346" s="339">
        <f t="shared" si="46"/>
        <v>25540.209729</v>
      </c>
      <c r="R346" s="468"/>
      <c r="S346" s="468"/>
      <c r="T346" s="468"/>
    </row>
    <row r="347" spans="1:20" ht="12.75">
      <c r="A347" s="456"/>
      <c r="B347" s="457" t="s">
        <v>1431</v>
      </c>
      <c r="C347" s="470">
        <f>('[4]Bieu 57'!D347)/1000000</f>
        <v>8839.883018</v>
      </c>
      <c r="D347" s="470">
        <f>('[4]Bieu 57'!I347)/1000000</f>
        <v>8839.883018</v>
      </c>
      <c r="E347" s="468"/>
      <c r="F347" s="468"/>
      <c r="G347" s="468"/>
      <c r="H347" s="468"/>
      <c r="I347" s="468"/>
      <c r="J347" s="468"/>
      <c r="K347" s="468"/>
      <c r="L347" s="468"/>
      <c r="M347" s="468"/>
      <c r="N347" s="468"/>
      <c r="O347" s="468"/>
      <c r="P347" s="468"/>
      <c r="Q347" s="339">
        <f t="shared" si="46"/>
        <v>8839.883018</v>
      </c>
      <c r="R347" s="468"/>
      <c r="S347" s="468"/>
      <c r="T347" s="468"/>
    </row>
    <row r="348" spans="1:20" ht="12.75">
      <c r="A348" s="456"/>
      <c r="B348" s="457" t="s">
        <v>1432</v>
      </c>
      <c r="C348" s="470">
        <f>('[4]Bieu 57'!D348)/1000000</f>
        <v>3133.891711</v>
      </c>
      <c r="D348" s="470">
        <f>('[4]Bieu 57'!I348)/1000000</f>
        <v>3133.891711</v>
      </c>
      <c r="E348" s="468"/>
      <c r="F348" s="468"/>
      <c r="G348" s="468"/>
      <c r="H348" s="468"/>
      <c r="I348" s="468"/>
      <c r="J348" s="468"/>
      <c r="K348" s="468"/>
      <c r="L348" s="468"/>
      <c r="M348" s="468"/>
      <c r="N348" s="468"/>
      <c r="O348" s="468"/>
      <c r="P348" s="468"/>
      <c r="Q348" s="339">
        <f t="shared" si="46"/>
        <v>3133.891711</v>
      </c>
      <c r="R348" s="468"/>
      <c r="S348" s="468"/>
      <c r="T348" s="468"/>
    </row>
    <row r="349" spans="1:20" ht="12.75">
      <c r="A349" s="456"/>
      <c r="B349" s="457" t="s">
        <v>1433</v>
      </c>
      <c r="C349" s="470">
        <f>('[4]Bieu 57'!D349)/1000000</f>
        <v>2903.485</v>
      </c>
      <c r="D349" s="470">
        <f>('[4]Bieu 57'!I349)/1000000</f>
        <v>2903.485</v>
      </c>
      <c r="E349" s="468"/>
      <c r="F349" s="468"/>
      <c r="G349" s="468"/>
      <c r="H349" s="468"/>
      <c r="I349" s="468"/>
      <c r="J349" s="468"/>
      <c r="K349" s="468"/>
      <c r="L349" s="468"/>
      <c r="M349" s="468"/>
      <c r="N349" s="468"/>
      <c r="O349" s="468"/>
      <c r="P349" s="468"/>
      <c r="Q349" s="339">
        <f t="shared" si="46"/>
        <v>2903.485</v>
      </c>
      <c r="R349" s="468"/>
      <c r="S349" s="468"/>
      <c r="T349" s="468"/>
    </row>
    <row r="350" spans="1:20" ht="12.75">
      <c r="A350" s="456"/>
      <c r="B350" s="457" t="s">
        <v>1434</v>
      </c>
      <c r="C350" s="470">
        <f>('[4]Bieu 57'!D350)/1000000</f>
        <v>1445.783</v>
      </c>
      <c r="D350" s="470">
        <f>('[4]Bieu 57'!I350)/1000000</f>
        <v>1445.783</v>
      </c>
      <c r="E350" s="468"/>
      <c r="F350" s="468"/>
      <c r="G350" s="468"/>
      <c r="H350" s="468"/>
      <c r="I350" s="468"/>
      <c r="J350" s="468"/>
      <c r="K350" s="468"/>
      <c r="L350" s="468"/>
      <c r="M350" s="468"/>
      <c r="N350" s="468"/>
      <c r="O350" s="468"/>
      <c r="P350" s="468"/>
      <c r="Q350" s="339">
        <f t="shared" si="46"/>
        <v>1445.783</v>
      </c>
      <c r="R350" s="468"/>
      <c r="S350" s="468"/>
      <c r="T350" s="468"/>
    </row>
    <row r="351" spans="1:20" ht="12.75">
      <c r="A351" s="456"/>
      <c r="B351" s="457" t="s">
        <v>1435</v>
      </c>
      <c r="C351" s="470">
        <f>('[4]Bieu 57'!D351)/1000000</f>
        <v>1918.194</v>
      </c>
      <c r="D351" s="470">
        <f>('[4]Bieu 57'!I351)/1000000</f>
        <v>1918.194</v>
      </c>
      <c r="E351" s="468"/>
      <c r="F351" s="468"/>
      <c r="G351" s="468"/>
      <c r="H351" s="468"/>
      <c r="I351" s="468"/>
      <c r="J351" s="468"/>
      <c r="K351" s="468"/>
      <c r="L351" s="468"/>
      <c r="M351" s="468"/>
      <c r="N351" s="468"/>
      <c r="O351" s="468"/>
      <c r="P351" s="468"/>
      <c r="Q351" s="339">
        <f t="shared" si="46"/>
        <v>1918.194</v>
      </c>
      <c r="R351" s="468"/>
      <c r="S351" s="468"/>
      <c r="T351" s="468"/>
    </row>
    <row r="352" spans="1:20" ht="12.75">
      <c r="A352" s="456"/>
      <c r="B352" s="457" t="s">
        <v>1436</v>
      </c>
      <c r="C352" s="470">
        <f>('[4]Bieu 57'!D352)/1000000</f>
        <v>1396.593</v>
      </c>
      <c r="D352" s="470">
        <f>('[4]Bieu 57'!I352)/1000000</f>
        <v>1396.593</v>
      </c>
      <c r="E352" s="468"/>
      <c r="F352" s="468"/>
      <c r="G352" s="468"/>
      <c r="H352" s="468"/>
      <c r="I352" s="468"/>
      <c r="J352" s="468"/>
      <c r="K352" s="468"/>
      <c r="L352" s="468"/>
      <c r="M352" s="468"/>
      <c r="N352" s="468"/>
      <c r="O352" s="468"/>
      <c r="P352" s="468"/>
      <c r="Q352" s="339">
        <f t="shared" si="46"/>
        <v>1396.593</v>
      </c>
      <c r="R352" s="468"/>
      <c r="S352" s="468"/>
      <c r="T352" s="468"/>
    </row>
    <row r="353" spans="1:20" ht="12.75">
      <c r="A353" s="456"/>
      <c r="B353" s="457" t="s">
        <v>1437</v>
      </c>
      <c r="C353" s="470">
        <f>('[4]Bieu 57'!D353)/1000000</f>
        <v>1591.764</v>
      </c>
      <c r="D353" s="470">
        <f>('[4]Bieu 57'!I353)/1000000</f>
        <v>1591.764</v>
      </c>
      <c r="E353" s="468"/>
      <c r="F353" s="468"/>
      <c r="G353" s="468"/>
      <c r="H353" s="468"/>
      <c r="I353" s="468"/>
      <c r="J353" s="468"/>
      <c r="K353" s="468"/>
      <c r="L353" s="468"/>
      <c r="M353" s="468"/>
      <c r="N353" s="468"/>
      <c r="O353" s="468"/>
      <c r="P353" s="468"/>
      <c r="Q353" s="339">
        <f t="shared" si="46"/>
        <v>1591.764</v>
      </c>
      <c r="R353" s="468"/>
      <c r="S353" s="468"/>
      <c r="T353" s="468"/>
    </row>
    <row r="354" spans="1:20" ht="12.75">
      <c r="A354" s="456"/>
      <c r="B354" s="457" t="s">
        <v>1438</v>
      </c>
      <c r="C354" s="470">
        <f>('[4]Bieu 57'!D354)/1000000</f>
        <v>1677.454</v>
      </c>
      <c r="D354" s="470">
        <f>('[4]Bieu 57'!I354)/1000000</f>
        <v>1677.454</v>
      </c>
      <c r="E354" s="468"/>
      <c r="F354" s="468"/>
      <c r="G354" s="468"/>
      <c r="H354" s="468"/>
      <c r="I354" s="468"/>
      <c r="J354" s="468"/>
      <c r="K354" s="468"/>
      <c r="L354" s="468"/>
      <c r="M354" s="468"/>
      <c r="N354" s="468"/>
      <c r="O354" s="468"/>
      <c r="P354" s="468"/>
      <c r="Q354" s="339">
        <f t="shared" si="46"/>
        <v>1677.454</v>
      </c>
      <c r="R354" s="468"/>
      <c r="S354" s="468"/>
      <c r="T354" s="468"/>
    </row>
    <row r="355" spans="1:20" ht="12.75">
      <c r="A355" s="456"/>
      <c r="B355" s="457" t="s">
        <v>1439</v>
      </c>
      <c r="C355" s="470">
        <f>('[4]Bieu 57'!D355)/1000000</f>
        <v>2633.162</v>
      </c>
      <c r="D355" s="470">
        <f>('[4]Bieu 57'!I355)/1000000</f>
        <v>2633.162</v>
      </c>
      <c r="E355" s="468"/>
      <c r="F355" s="468"/>
      <c r="G355" s="468"/>
      <c r="H355" s="468"/>
      <c r="I355" s="468"/>
      <c r="J355" s="468"/>
      <c r="K355" s="468"/>
      <c r="L355" s="468"/>
      <c r="M355" s="468"/>
      <c r="N355" s="468"/>
      <c r="O355" s="468"/>
      <c r="P355" s="468"/>
      <c r="Q355" s="339">
        <f t="shared" si="46"/>
        <v>2633.162</v>
      </c>
      <c r="R355" s="468"/>
      <c r="S355" s="468"/>
      <c r="T355" s="468"/>
    </row>
    <row r="356" spans="1:20" ht="12.75">
      <c r="A356" s="429">
        <v>33</v>
      </c>
      <c r="B356" s="455" t="s">
        <v>1440</v>
      </c>
      <c r="C356" s="470">
        <f>('[4]Bieu 57'!D356)/1000000</f>
        <v>1697.181</v>
      </c>
      <c r="D356" s="470">
        <f>('[4]Bieu 57'!I356)/1000000</f>
        <v>1697.181</v>
      </c>
      <c r="E356" s="468"/>
      <c r="F356" s="468"/>
      <c r="G356" s="468"/>
      <c r="H356" s="468"/>
      <c r="I356" s="468"/>
      <c r="J356" s="468"/>
      <c r="K356" s="468"/>
      <c r="L356" s="468"/>
      <c r="M356" s="468"/>
      <c r="N356" s="468"/>
      <c r="O356" s="468"/>
      <c r="P356" s="468"/>
      <c r="Q356" s="339">
        <f t="shared" si="46"/>
        <v>1697.181</v>
      </c>
      <c r="R356" s="468"/>
      <c r="S356" s="468"/>
      <c r="T356" s="468"/>
    </row>
    <row r="357" spans="1:20" ht="12.75">
      <c r="A357" s="458">
        <v>34</v>
      </c>
      <c r="B357" s="425" t="s">
        <v>1441</v>
      </c>
      <c r="C357" s="470">
        <f>('[4]Bieu 57'!D357)/1000000</f>
        <v>1623</v>
      </c>
      <c r="D357" s="470">
        <f>('[4]Bieu 57'!I357)/1000000</f>
        <v>1623</v>
      </c>
      <c r="E357" s="468"/>
      <c r="F357" s="468"/>
      <c r="G357" s="468"/>
      <c r="H357" s="468"/>
      <c r="I357" s="468"/>
      <c r="J357" s="468"/>
      <c r="K357" s="468"/>
      <c r="L357" s="468"/>
      <c r="M357" s="468"/>
      <c r="N357" s="468"/>
      <c r="O357" s="468"/>
      <c r="P357" s="468"/>
      <c r="Q357" s="339">
        <f t="shared" si="46"/>
        <v>1623</v>
      </c>
      <c r="R357" s="468"/>
      <c r="S357" s="468"/>
      <c r="T357" s="468"/>
    </row>
    <row r="358" spans="1:20" ht="12.75">
      <c r="A358" s="429">
        <v>35</v>
      </c>
      <c r="B358" s="455" t="s">
        <v>1442</v>
      </c>
      <c r="C358" s="470">
        <f>('[4]Bieu 57'!D358)/1000000</f>
        <v>1348.873</v>
      </c>
      <c r="D358" s="470">
        <f>('[4]Bieu 57'!I358)/1000000</f>
        <v>1348.873</v>
      </c>
      <c r="E358" s="468"/>
      <c r="F358" s="468"/>
      <c r="G358" s="468"/>
      <c r="H358" s="468"/>
      <c r="I358" s="468"/>
      <c r="J358" s="468"/>
      <c r="K358" s="468"/>
      <c r="L358" s="468"/>
      <c r="M358" s="468"/>
      <c r="N358" s="468"/>
      <c r="O358" s="468"/>
      <c r="P358" s="468"/>
      <c r="Q358" s="339">
        <f t="shared" si="46"/>
        <v>1348.873</v>
      </c>
      <c r="R358" s="468"/>
      <c r="S358" s="468"/>
      <c r="T358" s="468"/>
    </row>
    <row r="359" spans="1:20" ht="12.75">
      <c r="A359" s="429">
        <v>36</v>
      </c>
      <c r="B359" s="455" t="s">
        <v>1443</v>
      </c>
      <c r="C359" s="470">
        <f>('[4]Bieu 57'!D359)/1000000</f>
        <v>854.5255</v>
      </c>
      <c r="D359" s="470">
        <f>('[4]Bieu 57'!I359)/1000000</f>
        <v>853.348</v>
      </c>
      <c r="E359" s="468"/>
      <c r="F359" s="468"/>
      <c r="G359" s="468"/>
      <c r="H359" s="468"/>
      <c r="I359" s="468"/>
      <c r="J359" s="468"/>
      <c r="K359" s="468"/>
      <c r="L359" s="468"/>
      <c r="M359" s="468"/>
      <c r="N359" s="468"/>
      <c r="O359" s="468"/>
      <c r="P359" s="468"/>
      <c r="Q359" s="471">
        <f t="shared" si="46"/>
        <v>853.348</v>
      </c>
      <c r="R359" s="468"/>
      <c r="S359" s="468"/>
      <c r="T359" s="468"/>
    </row>
    <row r="360" spans="1:20" s="422" customFormat="1" ht="12.75">
      <c r="A360" s="432" t="s">
        <v>93</v>
      </c>
      <c r="B360" s="459" t="s">
        <v>1444</v>
      </c>
      <c r="C360" s="469">
        <f>SUM(C361:C369)</f>
        <v>110392.792855</v>
      </c>
      <c r="D360" s="469">
        <f>SUM(D361:D369)</f>
        <v>109239.36820700002</v>
      </c>
      <c r="E360" s="469">
        <f aca="true" t="shared" si="47" ref="E360:T360">SUM(E361:E369)</f>
        <v>0</v>
      </c>
      <c r="F360" s="469">
        <f t="shared" si="47"/>
        <v>0</v>
      </c>
      <c r="G360" s="469">
        <f t="shared" si="47"/>
        <v>0</v>
      </c>
      <c r="H360" s="469">
        <f t="shared" si="47"/>
        <v>0</v>
      </c>
      <c r="I360" s="469">
        <f t="shared" si="47"/>
        <v>0</v>
      </c>
      <c r="J360" s="469">
        <f t="shared" si="47"/>
        <v>0</v>
      </c>
      <c r="K360" s="469">
        <f t="shared" si="47"/>
        <v>0</v>
      </c>
      <c r="L360" s="469">
        <f t="shared" si="47"/>
        <v>0</v>
      </c>
      <c r="M360" s="469">
        <f t="shared" si="47"/>
        <v>0</v>
      </c>
      <c r="N360" s="469">
        <f t="shared" si="47"/>
        <v>0</v>
      </c>
      <c r="O360" s="469">
        <f t="shared" si="47"/>
        <v>0</v>
      </c>
      <c r="P360" s="469">
        <f t="shared" si="47"/>
        <v>0</v>
      </c>
      <c r="Q360" s="469">
        <f t="shared" si="47"/>
        <v>109239.36820700002</v>
      </c>
      <c r="R360" s="469">
        <f t="shared" si="47"/>
        <v>0</v>
      </c>
      <c r="S360" s="469">
        <f t="shared" si="47"/>
        <v>0</v>
      </c>
      <c r="T360" s="469">
        <f t="shared" si="47"/>
        <v>0</v>
      </c>
    </row>
    <row r="361" spans="1:20" ht="12.75">
      <c r="A361" s="458">
        <v>1</v>
      </c>
      <c r="B361" s="425" t="s">
        <v>1296</v>
      </c>
      <c r="C361" s="470">
        <f>('[4]Bieu 57'!D361)/1000000</f>
        <v>82902.073855</v>
      </c>
      <c r="D361" s="470">
        <f>('[4]Bieu 57'!I361)/1000000</f>
        <v>81902.073855</v>
      </c>
      <c r="E361" s="468"/>
      <c r="F361" s="468"/>
      <c r="G361" s="468"/>
      <c r="H361" s="468"/>
      <c r="I361" s="468"/>
      <c r="J361" s="468"/>
      <c r="K361" s="468"/>
      <c r="L361" s="468"/>
      <c r="M361" s="468"/>
      <c r="N361" s="468"/>
      <c r="O361" s="468"/>
      <c r="P361" s="468"/>
      <c r="Q361" s="339">
        <f t="shared" si="46"/>
        <v>81902.073855</v>
      </c>
      <c r="R361" s="468"/>
      <c r="S361" s="468"/>
      <c r="T361" s="468"/>
    </row>
    <row r="362" spans="1:20" ht="12.75">
      <c r="A362" s="429">
        <v>2</v>
      </c>
      <c r="B362" s="455" t="s">
        <v>1256</v>
      </c>
      <c r="C362" s="470">
        <f>('[4]Bieu 57'!D362)/1000000</f>
        <v>3449</v>
      </c>
      <c r="D362" s="470">
        <f>('[4]Bieu 57'!I362)/1000000</f>
        <v>3449</v>
      </c>
      <c r="E362" s="468"/>
      <c r="F362" s="468"/>
      <c r="G362" s="468"/>
      <c r="H362" s="468"/>
      <c r="I362" s="468"/>
      <c r="J362" s="468"/>
      <c r="K362" s="468"/>
      <c r="L362" s="468"/>
      <c r="M362" s="468"/>
      <c r="N362" s="468"/>
      <c r="O362" s="468"/>
      <c r="P362" s="468"/>
      <c r="Q362" s="339">
        <f t="shared" si="46"/>
        <v>3449</v>
      </c>
      <c r="R362" s="468"/>
      <c r="S362" s="468"/>
      <c r="T362" s="468"/>
    </row>
    <row r="363" spans="1:20" ht="12.75">
      <c r="A363" s="429">
        <v>3</v>
      </c>
      <c r="B363" s="455" t="s">
        <v>1445</v>
      </c>
      <c r="C363" s="470">
        <f>('[4]Bieu 57'!D363)/1000000</f>
        <v>7662.849</v>
      </c>
      <c r="D363" s="470">
        <f>('[4]Bieu 57'!I363)/1000000</f>
        <v>7662.849</v>
      </c>
      <c r="E363" s="468"/>
      <c r="F363" s="468"/>
      <c r="G363" s="468"/>
      <c r="H363" s="468"/>
      <c r="I363" s="468"/>
      <c r="J363" s="468"/>
      <c r="K363" s="468"/>
      <c r="L363" s="468"/>
      <c r="M363" s="468"/>
      <c r="N363" s="468"/>
      <c r="O363" s="468"/>
      <c r="P363" s="468"/>
      <c r="Q363" s="339">
        <f t="shared" si="46"/>
        <v>7662.849</v>
      </c>
      <c r="R363" s="468"/>
      <c r="S363" s="468"/>
      <c r="T363" s="468"/>
    </row>
    <row r="364" spans="1:20" ht="12.75">
      <c r="A364" s="429">
        <v>4</v>
      </c>
      <c r="B364" s="455" t="s">
        <v>1446</v>
      </c>
      <c r="C364" s="470">
        <f>('[4]Bieu 57'!D364)/1000000</f>
        <v>4728.568</v>
      </c>
      <c r="D364" s="470">
        <f>('[4]Bieu 57'!I364)/1000000</f>
        <v>4728.568</v>
      </c>
      <c r="E364" s="468"/>
      <c r="F364" s="468"/>
      <c r="G364" s="468"/>
      <c r="H364" s="468"/>
      <c r="I364" s="468"/>
      <c r="J364" s="468"/>
      <c r="K364" s="468"/>
      <c r="L364" s="468"/>
      <c r="M364" s="468"/>
      <c r="N364" s="468"/>
      <c r="O364" s="468"/>
      <c r="P364" s="468"/>
      <c r="Q364" s="339">
        <f t="shared" si="46"/>
        <v>4728.568</v>
      </c>
      <c r="R364" s="468"/>
      <c r="S364" s="468"/>
      <c r="T364" s="468"/>
    </row>
    <row r="365" spans="1:20" ht="12.75">
      <c r="A365" s="429">
        <v>5</v>
      </c>
      <c r="B365" s="455" t="s">
        <v>1447</v>
      </c>
      <c r="C365" s="470">
        <f>('[4]Bieu 57'!D365)/1000000</f>
        <v>4505.558</v>
      </c>
      <c r="D365" s="470">
        <f>('[4]Bieu 57'!I365)/1000000</f>
        <v>4443.350843</v>
      </c>
      <c r="E365" s="468"/>
      <c r="F365" s="468"/>
      <c r="G365" s="468"/>
      <c r="H365" s="468"/>
      <c r="I365" s="468"/>
      <c r="J365" s="468"/>
      <c r="K365" s="468"/>
      <c r="L365" s="468"/>
      <c r="M365" s="468"/>
      <c r="N365" s="468"/>
      <c r="O365" s="468"/>
      <c r="P365" s="468"/>
      <c r="Q365" s="339">
        <f t="shared" si="46"/>
        <v>4443.350843</v>
      </c>
      <c r="R365" s="468"/>
      <c r="S365" s="468"/>
      <c r="T365" s="468"/>
    </row>
    <row r="366" spans="1:20" ht="12.75">
      <c r="A366" s="429">
        <v>6</v>
      </c>
      <c r="B366" s="455" t="s">
        <v>1448</v>
      </c>
      <c r="C366" s="470">
        <f>('[4]Bieu 57'!D366)/1000000</f>
        <v>3468.341</v>
      </c>
      <c r="D366" s="470">
        <f>('[4]Bieu 57'!I366)/1000000</f>
        <v>3468.341</v>
      </c>
      <c r="E366" s="468"/>
      <c r="F366" s="468"/>
      <c r="G366" s="468"/>
      <c r="H366" s="468"/>
      <c r="I366" s="468"/>
      <c r="J366" s="468"/>
      <c r="K366" s="468"/>
      <c r="L366" s="468"/>
      <c r="M366" s="468"/>
      <c r="N366" s="468"/>
      <c r="O366" s="468"/>
      <c r="P366" s="468"/>
      <c r="Q366" s="339">
        <f t="shared" si="46"/>
        <v>3468.341</v>
      </c>
      <c r="R366" s="468"/>
      <c r="S366" s="468"/>
      <c r="T366" s="468"/>
    </row>
    <row r="367" spans="1:20" ht="12.75">
      <c r="A367" s="429">
        <v>7</v>
      </c>
      <c r="B367" s="455" t="s">
        <v>1449</v>
      </c>
      <c r="C367" s="470">
        <f>('[4]Bieu 57'!D367)/1000000</f>
        <v>2513.403</v>
      </c>
      <c r="D367" s="470">
        <f>('[4]Bieu 57'!I367)/1000000</f>
        <v>2513.403</v>
      </c>
      <c r="E367" s="468"/>
      <c r="F367" s="468"/>
      <c r="G367" s="468"/>
      <c r="H367" s="468"/>
      <c r="I367" s="468"/>
      <c r="J367" s="468"/>
      <c r="K367" s="468"/>
      <c r="L367" s="468"/>
      <c r="M367" s="468"/>
      <c r="N367" s="468"/>
      <c r="O367" s="468"/>
      <c r="P367" s="468"/>
      <c r="Q367" s="339">
        <f t="shared" si="46"/>
        <v>2513.403</v>
      </c>
      <c r="R367" s="468"/>
      <c r="S367" s="468"/>
      <c r="T367" s="468"/>
    </row>
    <row r="368" spans="1:20" ht="12.75">
      <c r="A368" s="429">
        <v>8</v>
      </c>
      <c r="B368" s="455" t="s">
        <v>1450</v>
      </c>
      <c r="C368" s="470">
        <f>('[4]Bieu 57'!D368)/1000000</f>
        <v>675</v>
      </c>
      <c r="D368" s="470">
        <f>('[4]Bieu 57'!I368)/1000000</f>
        <v>658.32</v>
      </c>
      <c r="E368" s="468"/>
      <c r="F368" s="468"/>
      <c r="G368" s="468"/>
      <c r="H368" s="468"/>
      <c r="I368" s="468"/>
      <c r="J368" s="468"/>
      <c r="K368" s="468"/>
      <c r="L368" s="468"/>
      <c r="M368" s="468"/>
      <c r="N368" s="468"/>
      <c r="O368" s="468"/>
      <c r="P368" s="468"/>
      <c r="Q368" s="339">
        <f t="shared" si="46"/>
        <v>658.32</v>
      </c>
      <c r="R368" s="468"/>
      <c r="S368" s="468"/>
      <c r="T368" s="468"/>
    </row>
    <row r="369" spans="1:20" ht="12.75">
      <c r="A369" s="429">
        <v>9</v>
      </c>
      <c r="B369" s="455" t="s">
        <v>1451</v>
      </c>
      <c r="C369" s="470">
        <f>('[4]Bieu 57'!D369)/1000000</f>
        <v>488</v>
      </c>
      <c r="D369" s="470">
        <f>('[4]Bieu 57'!I369)/1000000</f>
        <v>413.462509</v>
      </c>
      <c r="E369" s="468"/>
      <c r="F369" s="468"/>
      <c r="G369" s="468"/>
      <c r="H369" s="468"/>
      <c r="I369" s="468"/>
      <c r="J369" s="468"/>
      <c r="K369" s="468"/>
      <c r="L369" s="468"/>
      <c r="M369" s="468"/>
      <c r="N369" s="468"/>
      <c r="O369" s="468"/>
      <c r="P369" s="468"/>
      <c r="Q369" s="339">
        <f t="shared" si="46"/>
        <v>413.462509</v>
      </c>
      <c r="R369" s="468"/>
      <c r="S369" s="468"/>
      <c r="T369" s="468"/>
    </row>
    <row r="370" spans="1:20" s="422" customFormat="1" ht="12.75">
      <c r="A370" s="435" t="s">
        <v>1277</v>
      </c>
      <c r="B370" s="460" t="s">
        <v>1452</v>
      </c>
      <c r="C370" s="469">
        <f>SUM(C371:C398)</f>
        <v>11409.504799999999</v>
      </c>
      <c r="D370" s="469">
        <f>SUM(D371:D398)</f>
        <v>11181.582192999998</v>
      </c>
      <c r="E370" s="469">
        <f aca="true" t="shared" si="48" ref="E370:T370">SUM(E371:E398)</f>
        <v>0</v>
      </c>
      <c r="F370" s="469">
        <f t="shared" si="48"/>
        <v>0</v>
      </c>
      <c r="G370" s="469">
        <f t="shared" si="48"/>
        <v>0</v>
      </c>
      <c r="H370" s="469">
        <f t="shared" si="48"/>
        <v>0</v>
      </c>
      <c r="I370" s="469">
        <f t="shared" si="48"/>
        <v>0</v>
      </c>
      <c r="J370" s="469">
        <f t="shared" si="48"/>
        <v>0</v>
      </c>
      <c r="K370" s="469">
        <f t="shared" si="48"/>
        <v>0</v>
      </c>
      <c r="L370" s="469">
        <f t="shared" si="48"/>
        <v>0</v>
      </c>
      <c r="M370" s="469">
        <f t="shared" si="48"/>
        <v>0</v>
      </c>
      <c r="N370" s="469">
        <f t="shared" si="48"/>
        <v>0</v>
      </c>
      <c r="O370" s="469">
        <f t="shared" si="48"/>
        <v>0</v>
      </c>
      <c r="P370" s="469">
        <f t="shared" si="48"/>
        <v>0</v>
      </c>
      <c r="Q370" s="469">
        <f t="shared" si="48"/>
        <v>11181.582192999998</v>
      </c>
      <c r="R370" s="469">
        <f t="shared" si="48"/>
        <v>0</v>
      </c>
      <c r="S370" s="469">
        <f t="shared" si="48"/>
        <v>0</v>
      </c>
      <c r="T370" s="469">
        <f t="shared" si="48"/>
        <v>0</v>
      </c>
    </row>
    <row r="371" spans="1:20" ht="12.75">
      <c r="A371" s="429">
        <v>1</v>
      </c>
      <c r="B371" s="455" t="s">
        <v>1453</v>
      </c>
      <c r="C371" s="470">
        <f>('[4]Bieu 57'!D371)/1000000</f>
        <v>819</v>
      </c>
      <c r="D371" s="470">
        <f>('[4]Bieu 57'!I371)/1000000</f>
        <v>819</v>
      </c>
      <c r="E371" s="468"/>
      <c r="F371" s="468"/>
      <c r="G371" s="468"/>
      <c r="H371" s="468"/>
      <c r="I371" s="468"/>
      <c r="J371" s="468"/>
      <c r="K371" s="468"/>
      <c r="L371" s="468"/>
      <c r="M371" s="468"/>
      <c r="N371" s="468"/>
      <c r="O371" s="468"/>
      <c r="P371" s="468"/>
      <c r="Q371" s="339">
        <f t="shared" si="46"/>
        <v>819</v>
      </c>
      <c r="R371" s="468"/>
      <c r="S371" s="468"/>
      <c r="T371" s="468"/>
    </row>
    <row r="372" spans="1:20" ht="12.75">
      <c r="A372" s="429">
        <v>2</v>
      </c>
      <c r="B372" s="455" t="s">
        <v>1454</v>
      </c>
      <c r="C372" s="470">
        <f>('[4]Bieu 57'!D372)/1000000</f>
        <v>1712.4</v>
      </c>
      <c r="D372" s="470">
        <f>('[4]Bieu 57'!I372)/1000000</f>
        <v>1688.604305</v>
      </c>
      <c r="E372" s="468"/>
      <c r="F372" s="468"/>
      <c r="G372" s="468"/>
      <c r="H372" s="468"/>
      <c r="I372" s="468"/>
      <c r="J372" s="468"/>
      <c r="K372" s="468"/>
      <c r="L372" s="468"/>
      <c r="M372" s="468"/>
      <c r="N372" s="468"/>
      <c r="O372" s="468"/>
      <c r="P372" s="468"/>
      <c r="Q372" s="339">
        <f t="shared" si="46"/>
        <v>1688.604305</v>
      </c>
      <c r="R372" s="468"/>
      <c r="S372" s="468"/>
      <c r="T372" s="468"/>
    </row>
    <row r="373" spans="1:20" ht="12.75">
      <c r="A373" s="429">
        <v>3</v>
      </c>
      <c r="B373" s="455" t="s">
        <v>1455</v>
      </c>
      <c r="C373" s="470">
        <f>('[4]Bieu 57'!D373)/1000000</f>
        <v>793.272</v>
      </c>
      <c r="D373" s="470">
        <f>('[4]Bieu 57'!I373)/1000000</f>
        <v>793.272</v>
      </c>
      <c r="E373" s="468"/>
      <c r="F373" s="468"/>
      <c r="G373" s="468"/>
      <c r="H373" s="468"/>
      <c r="I373" s="468"/>
      <c r="J373" s="468"/>
      <c r="K373" s="468"/>
      <c r="L373" s="468"/>
      <c r="M373" s="468"/>
      <c r="N373" s="468"/>
      <c r="O373" s="468"/>
      <c r="P373" s="468"/>
      <c r="Q373" s="339">
        <f t="shared" si="46"/>
        <v>793.272</v>
      </c>
      <c r="R373" s="468"/>
      <c r="S373" s="468"/>
      <c r="T373" s="468"/>
    </row>
    <row r="374" spans="1:20" ht="12.75">
      <c r="A374" s="429">
        <v>4</v>
      </c>
      <c r="B374" s="455" t="s">
        <v>1456</v>
      </c>
      <c r="C374" s="470">
        <f>('[4]Bieu 57'!D374)/1000000</f>
        <v>2160.739</v>
      </c>
      <c r="D374" s="470">
        <f>('[4]Bieu 57'!I374)/1000000</f>
        <v>2160.739</v>
      </c>
      <c r="E374" s="468"/>
      <c r="F374" s="468"/>
      <c r="G374" s="468"/>
      <c r="H374" s="468"/>
      <c r="I374" s="468"/>
      <c r="J374" s="468"/>
      <c r="K374" s="468"/>
      <c r="L374" s="468"/>
      <c r="M374" s="468"/>
      <c r="N374" s="468"/>
      <c r="O374" s="468"/>
      <c r="P374" s="468"/>
      <c r="Q374" s="339">
        <f t="shared" si="46"/>
        <v>2160.739</v>
      </c>
      <c r="R374" s="468"/>
      <c r="S374" s="468"/>
      <c r="T374" s="468"/>
    </row>
    <row r="375" spans="1:20" ht="12.75">
      <c r="A375" s="429">
        <v>5</v>
      </c>
      <c r="B375" s="455" t="s">
        <v>1457</v>
      </c>
      <c r="C375" s="470">
        <f>('[4]Bieu 57'!D375)/1000000</f>
        <v>470.441</v>
      </c>
      <c r="D375" s="470">
        <f>('[4]Bieu 57'!I375)/1000000</f>
        <v>470.441</v>
      </c>
      <c r="E375" s="468"/>
      <c r="F375" s="468"/>
      <c r="G375" s="468"/>
      <c r="H375" s="468"/>
      <c r="I375" s="468"/>
      <c r="J375" s="468"/>
      <c r="K375" s="468"/>
      <c r="L375" s="468"/>
      <c r="M375" s="468"/>
      <c r="N375" s="468"/>
      <c r="O375" s="468"/>
      <c r="P375" s="468"/>
      <c r="Q375" s="339">
        <f t="shared" si="46"/>
        <v>470.441</v>
      </c>
      <c r="R375" s="468"/>
      <c r="S375" s="468"/>
      <c r="T375" s="468"/>
    </row>
    <row r="376" spans="1:20" ht="12.75">
      <c r="A376" s="458">
        <v>6</v>
      </c>
      <c r="B376" s="425" t="s">
        <v>1458</v>
      </c>
      <c r="C376" s="470">
        <f>('[4]Bieu 57'!D376)/1000000</f>
        <v>1242.4608</v>
      </c>
      <c r="D376" s="470">
        <f>('[4]Bieu 57'!I376)/1000000</f>
        <v>1160.1092</v>
      </c>
      <c r="E376" s="468"/>
      <c r="F376" s="468"/>
      <c r="G376" s="468"/>
      <c r="H376" s="468"/>
      <c r="I376" s="468"/>
      <c r="J376" s="468"/>
      <c r="K376" s="468"/>
      <c r="L376" s="468"/>
      <c r="M376" s="468"/>
      <c r="N376" s="468"/>
      <c r="O376" s="468"/>
      <c r="P376" s="468"/>
      <c r="Q376" s="339">
        <f t="shared" si="46"/>
        <v>1160.1092</v>
      </c>
      <c r="R376" s="468"/>
      <c r="S376" s="468"/>
      <c r="T376" s="468"/>
    </row>
    <row r="377" spans="1:20" ht="12.75">
      <c r="A377" s="429">
        <v>7</v>
      </c>
      <c r="B377" s="455" t="s">
        <v>1459</v>
      </c>
      <c r="C377" s="470">
        <f>('[4]Bieu 57'!D377)/1000000</f>
        <v>329.734</v>
      </c>
      <c r="D377" s="470">
        <f>('[4]Bieu 57'!I377)/1000000</f>
        <v>318.891188</v>
      </c>
      <c r="E377" s="468"/>
      <c r="F377" s="468"/>
      <c r="G377" s="468"/>
      <c r="H377" s="468"/>
      <c r="I377" s="468"/>
      <c r="J377" s="468"/>
      <c r="K377" s="468"/>
      <c r="L377" s="468"/>
      <c r="M377" s="468"/>
      <c r="N377" s="468"/>
      <c r="O377" s="468"/>
      <c r="P377" s="468"/>
      <c r="Q377" s="339">
        <f t="shared" si="46"/>
        <v>318.891188</v>
      </c>
      <c r="R377" s="468"/>
      <c r="S377" s="468"/>
      <c r="T377" s="468"/>
    </row>
    <row r="378" spans="1:20" ht="12.75">
      <c r="A378" s="429">
        <v>8</v>
      </c>
      <c r="B378" s="455" t="s">
        <v>1460</v>
      </c>
      <c r="C378" s="470">
        <f>('[4]Bieu 57'!D378)/1000000</f>
        <v>348.538934</v>
      </c>
      <c r="D378" s="470">
        <f>('[4]Bieu 57'!I378)/1000000</f>
        <v>348.538934</v>
      </c>
      <c r="E378" s="468"/>
      <c r="F378" s="468"/>
      <c r="G378" s="468"/>
      <c r="H378" s="468"/>
      <c r="I378" s="468"/>
      <c r="J378" s="468"/>
      <c r="K378" s="468"/>
      <c r="L378" s="468"/>
      <c r="M378" s="468"/>
      <c r="N378" s="468"/>
      <c r="O378" s="468"/>
      <c r="P378" s="468"/>
      <c r="Q378" s="339">
        <f t="shared" si="46"/>
        <v>348.538934</v>
      </c>
      <c r="R378" s="468"/>
      <c r="S378" s="468"/>
      <c r="T378" s="468"/>
    </row>
    <row r="379" spans="1:20" ht="12.75">
      <c r="A379" s="429">
        <v>9</v>
      </c>
      <c r="B379" s="455" t="s">
        <v>1461</v>
      </c>
      <c r="C379" s="470">
        <f>('[4]Bieu 57'!D379)/1000000</f>
        <v>255.852</v>
      </c>
      <c r="D379" s="470">
        <f>('[4]Bieu 57'!I379)/1000000</f>
        <v>255.852</v>
      </c>
      <c r="E379" s="468"/>
      <c r="F379" s="468"/>
      <c r="G379" s="468"/>
      <c r="H379" s="468"/>
      <c r="I379" s="468"/>
      <c r="J379" s="468"/>
      <c r="K379" s="468"/>
      <c r="L379" s="468"/>
      <c r="M379" s="468"/>
      <c r="N379" s="468"/>
      <c r="O379" s="468"/>
      <c r="P379" s="468"/>
      <c r="Q379" s="339">
        <f t="shared" si="46"/>
        <v>255.852</v>
      </c>
      <c r="R379" s="468"/>
      <c r="S379" s="468"/>
      <c r="T379" s="468"/>
    </row>
    <row r="380" spans="1:20" ht="12.75">
      <c r="A380" s="429">
        <v>10</v>
      </c>
      <c r="B380" s="455" t="s">
        <v>1462</v>
      </c>
      <c r="C380" s="470">
        <f>('[4]Bieu 57'!D380)/1000000</f>
        <v>80</v>
      </c>
      <c r="D380" s="470">
        <f>('[4]Bieu 57'!I380)/1000000</f>
        <v>80</v>
      </c>
      <c r="E380" s="468"/>
      <c r="F380" s="468"/>
      <c r="G380" s="468"/>
      <c r="H380" s="468"/>
      <c r="I380" s="468"/>
      <c r="J380" s="468"/>
      <c r="K380" s="468"/>
      <c r="L380" s="468"/>
      <c r="M380" s="468"/>
      <c r="N380" s="468"/>
      <c r="O380" s="468"/>
      <c r="P380" s="468"/>
      <c r="Q380" s="339">
        <f t="shared" si="46"/>
        <v>80</v>
      </c>
      <c r="R380" s="468"/>
      <c r="S380" s="468"/>
      <c r="T380" s="468"/>
    </row>
    <row r="381" spans="1:20" ht="12.75">
      <c r="A381" s="429">
        <v>11</v>
      </c>
      <c r="B381" s="455" t="s">
        <v>1463</v>
      </c>
      <c r="C381" s="470">
        <f>('[4]Bieu 57'!D381)/1000000</f>
        <v>945.902</v>
      </c>
      <c r="D381" s="470">
        <f>('[4]Bieu 57'!I381)/1000000</f>
        <v>945.902</v>
      </c>
      <c r="E381" s="468"/>
      <c r="F381" s="468"/>
      <c r="G381" s="468"/>
      <c r="H381" s="468"/>
      <c r="I381" s="468"/>
      <c r="J381" s="468"/>
      <c r="K381" s="468"/>
      <c r="L381" s="468"/>
      <c r="M381" s="468"/>
      <c r="N381" s="468"/>
      <c r="O381" s="468"/>
      <c r="P381" s="468"/>
      <c r="Q381" s="339">
        <f aca="true" t="shared" si="49" ref="Q381:Q398">D381</f>
        <v>945.902</v>
      </c>
      <c r="R381" s="468"/>
      <c r="S381" s="468"/>
      <c r="T381" s="468"/>
    </row>
    <row r="382" spans="1:20" ht="12.75">
      <c r="A382" s="429">
        <v>12</v>
      </c>
      <c r="B382" s="455" t="s">
        <v>1464</v>
      </c>
      <c r="C382" s="470">
        <f>('[4]Bieu 57'!D382)/1000000</f>
        <v>129.625066</v>
      </c>
      <c r="D382" s="470">
        <f>('[4]Bieu 57'!I382)/1000000</f>
        <v>129.625066</v>
      </c>
      <c r="E382" s="468"/>
      <c r="F382" s="468"/>
      <c r="G382" s="468"/>
      <c r="H382" s="468"/>
      <c r="I382" s="468"/>
      <c r="J382" s="468"/>
      <c r="K382" s="468"/>
      <c r="L382" s="468"/>
      <c r="M382" s="468"/>
      <c r="N382" s="468"/>
      <c r="O382" s="468"/>
      <c r="P382" s="468"/>
      <c r="Q382" s="339">
        <f t="shared" si="49"/>
        <v>129.625066</v>
      </c>
      <c r="R382" s="468"/>
      <c r="S382" s="468"/>
      <c r="T382" s="468"/>
    </row>
    <row r="383" spans="1:20" ht="12.75">
      <c r="A383" s="429">
        <v>13</v>
      </c>
      <c r="B383" s="455" t="s">
        <v>1465</v>
      </c>
      <c r="C383" s="470">
        <f>('[4]Bieu 57'!D383)/1000000</f>
        <v>80</v>
      </c>
      <c r="D383" s="470">
        <f>('[4]Bieu 57'!I383)/1000000</f>
        <v>80</v>
      </c>
      <c r="E383" s="468"/>
      <c r="F383" s="468"/>
      <c r="G383" s="468"/>
      <c r="H383" s="468"/>
      <c r="I383" s="468"/>
      <c r="J383" s="468"/>
      <c r="K383" s="468"/>
      <c r="L383" s="468"/>
      <c r="M383" s="468"/>
      <c r="N383" s="468"/>
      <c r="O383" s="468"/>
      <c r="P383" s="468"/>
      <c r="Q383" s="339">
        <f t="shared" si="49"/>
        <v>80</v>
      </c>
      <c r="R383" s="468"/>
      <c r="S383" s="468"/>
      <c r="T383" s="468"/>
    </row>
    <row r="384" spans="1:20" ht="12.75">
      <c r="A384" s="429">
        <v>14</v>
      </c>
      <c r="B384" s="455" t="s">
        <v>1466</v>
      </c>
      <c r="C384" s="470">
        <f>('[4]Bieu 57'!D384)/1000000</f>
        <v>166.1</v>
      </c>
      <c r="D384" s="470">
        <f>('[4]Bieu 57'!I384)/1000000</f>
        <v>166.1</v>
      </c>
      <c r="E384" s="468"/>
      <c r="F384" s="468"/>
      <c r="G384" s="468"/>
      <c r="H384" s="468"/>
      <c r="I384" s="468"/>
      <c r="J384" s="468"/>
      <c r="K384" s="468"/>
      <c r="L384" s="468"/>
      <c r="M384" s="468"/>
      <c r="N384" s="468"/>
      <c r="O384" s="468"/>
      <c r="P384" s="468"/>
      <c r="Q384" s="339">
        <f t="shared" si="49"/>
        <v>166.1</v>
      </c>
      <c r="R384" s="468"/>
      <c r="S384" s="468"/>
      <c r="T384" s="468"/>
    </row>
    <row r="385" spans="1:20" ht="12.75">
      <c r="A385" s="429">
        <v>15</v>
      </c>
      <c r="B385" s="455" t="s">
        <v>1467</v>
      </c>
      <c r="C385" s="470">
        <f>('[4]Bieu 57'!D385)/1000000</f>
        <v>80</v>
      </c>
      <c r="D385" s="470">
        <f>('[4]Bieu 57'!I385)/1000000</f>
        <v>80</v>
      </c>
      <c r="E385" s="468"/>
      <c r="F385" s="468"/>
      <c r="G385" s="468"/>
      <c r="H385" s="468"/>
      <c r="I385" s="468"/>
      <c r="J385" s="468"/>
      <c r="K385" s="468"/>
      <c r="L385" s="468"/>
      <c r="M385" s="468"/>
      <c r="N385" s="468"/>
      <c r="O385" s="468"/>
      <c r="P385" s="468"/>
      <c r="Q385" s="339">
        <f t="shared" si="49"/>
        <v>80</v>
      </c>
      <c r="R385" s="468"/>
      <c r="S385" s="468"/>
      <c r="T385" s="468"/>
    </row>
    <row r="386" spans="1:20" ht="12.75">
      <c r="A386" s="429">
        <v>16</v>
      </c>
      <c r="B386" s="455" t="s">
        <v>1468</v>
      </c>
      <c r="C386" s="470">
        <f>('[4]Bieu 57'!D386)/1000000</f>
        <v>206.914</v>
      </c>
      <c r="D386" s="470">
        <f>('[4]Bieu 57'!I386)/1000000</f>
        <v>206.914</v>
      </c>
      <c r="E386" s="468"/>
      <c r="F386" s="468"/>
      <c r="G386" s="468"/>
      <c r="H386" s="468"/>
      <c r="I386" s="468"/>
      <c r="J386" s="468"/>
      <c r="K386" s="468"/>
      <c r="L386" s="468"/>
      <c r="M386" s="468"/>
      <c r="N386" s="468"/>
      <c r="O386" s="468"/>
      <c r="P386" s="468"/>
      <c r="Q386" s="339">
        <f t="shared" si="49"/>
        <v>206.914</v>
      </c>
      <c r="R386" s="468"/>
      <c r="S386" s="468"/>
      <c r="T386" s="468"/>
    </row>
    <row r="387" spans="1:20" ht="12.75">
      <c r="A387" s="429">
        <v>17</v>
      </c>
      <c r="B387" s="455" t="s">
        <v>1469</v>
      </c>
      <c r="C387" s="470">
        <f>('[4]Bieu 57'!D387)/1000000</f>
        <v>275.112</v>
      </c>
      <c r="D387" s="470">
        <f>('[4]Bieu 57'!I387)/1000000</f>
        <v>275.112</v>
      </c>
      <c r="E387" s="468"/>
      <c r="F387" s="468"/>
      <c r="G387" s="468"/>
      <c r="H387" s="468"/>
      <c r="I387" s="468"/>
      <c r="J387" s="468"/>
      <c r="K387" s="468"/>
      <c r="L387" s="468"/>
      <c r="M387" s="468"/>
      <c r="N387" s="468"/>
      <c r="O387" s="468"/>
      <c r="P387" s="468"/>
      <c r="Q387" s="339">
        <f t="shared" si="49"/>
        <v>275.112</v>
      </c>
      <c r="R387" s="468"/>
      <c r="S387" s="468"/>
      <c r="T387" s="468"/>
    </row>
    <row r="388" spans="1:20" ht="12.75">
      <c r="A388" s="429">
        <v>18</v>
      </c>
      <c r="B388" s="455" t="s">
        <v>1470</v>
      </c>
      <c r="C388" s="470">
        <f>('[4]Bieu 57'!D388)/1000000</f>
        <v>369.712</v>
      </c>
      <c r="D388" s="470">
        <f>('[4]Bieu 57'!I388)/1000000</f>
        <v>286.712</v>
      </c>
      <c r="E388" s="468"/>
      <c r="F388" s="468"/>
      <c r="G388" s="468"/>
      <c r="H388" s="468"/>
      <c r="I388" s="468"/>
      <c r="J388" s="468"/>
      <c r="K388" s="468"/>
      <c r="L388" s="468"/>
      <c r="M388" s="468"/>
      <c r="N388" s="468"/>
      <c r="O388" s="468"/>
      <c r="P388" s="468"/>
      <c r="Q388" s="339">
        <f t="shared" si="49"/>
        <v>286.712</v>
      </c>
      <c r="R388" s="468"/>
      <c r="S388" s="468"/>
      <c r="T388" s="468"/>
    </row>
    <row r="389" spans="1:20" ht="12.75">
      <c r="A389" s="429">
        <v>19</v>
      </c>
      <c r="B389" s="455" t="s">
        <v>1471</v>
      </c>
      <c r="C389" s="470">
        <f>('[4]Bieu 57'!D389)/1000000</f>
        <v>131</v>
      </c>
      <c r="D389" s="470">
        <f>('[4]Bieu 57'!I389)/1000000</f>
        <v>103.0675</v>
      </c>
      <c r="E389" s="468"/>
      <c r="F389" s="468"/>
      <c r="G389" s="468"/>
      <c r="H389" s="468"/>
      <c r="I389" s="468"/>
      <c r="J389" s="468"/>
      <c r="K389" s="468"/>
      <c r="L389" s="468"/>
      <c r="M389" s="468"/>
      <c r="N389" s="468"/>
      <c r="O389" s="468"/>
      <c r="P389" s="468"/>
      <c r="Q389" s="339">
        <f t="shared" si="49"/>
        <v>103.0675</v>
      </c>
      <c r="R389" s="468"/>
      <c r="S389" s="468"/>
      <c r="T389" s="468"/>
    </row>
    <row r="390" spans="1:20" ht="12.75">
      <c r="A390" s="429">
        <v>20</v>
      </c>
      <c r="B390" s="455" t="s">
        <v>1472</v>
      </c>
      <c r="C390" s="470">
        <f>('[4]Bieu 57'!D390)/1000000</f>
        <v>174.402</v>
      </c>
      <c r="D390" s="470">
        <f>('[4]Bieu 57'!I390)/1000000</f>
        <v>174.402</v>
      </c>
      <c r="E390" s="468"/>
      <c r="F390" s="468"/>
      <c r="G390" s="468"/>
      <c r="H390" s="468"/>
      <c r="I390" s="468"/>
      <c r="J390" s="468"/>
      <c r="K390" s="468"/>
      <c r="L390" s="468"/>
      <c r="M390" s="468"/>
      <c r="N390" s="468"/>
      <c r="O390" s="468"/>
      <c r="P390" s="468"/>
      <c r="Q390" s="339">
        <f t="shared" si="49"/>
        <v>174.402</v>
      </c>
      <c r="R390" s="468"/>
      <c r="S390" s="468"/>
      <c r="T390" s="468"/>
    </row>
    <row r="391" spans="1:20" ht="12.75">
      <c r="A391" s="429">
        <v>21</v>
      </c>
      <c r="B391" s="455" t="s">
        <v>1473</v>
      </c>
      <c r="C391" s="470">
        <f>('[4]Bieu 57'!D391)/1000000</f>
        <v>80</v>
      </c>
      <c r="D391" s="470">
        <f>('[4]Bieu 57'!I391)/1000000</f>
        <v>80</v>
      </c>
      <c r="E391" s="468"/>
      <c r="F391" s="468"/>
      <c r="G391" s="468"/>
      <c r="H391" s="468"/>
      <c r="I391" s="468"/>
      <c r="J391" s="468"/>
      <c r="K391" s="468"/>
      <c r="L391" s="468"/>
      <c r="M391" s="468"/>
      <c r="N391" s="468"/>
      <c r="O391" s="468"/>
      <c r="P391" s="468"/>
      <c r="Q391" s="339">
        <f t="shared" si="49"/>
        <v>80</v>
      </c>
      <c r="R391" s="468"/>
      <c r="S391" s="468"/>
      <c r="T391" s="468"/>
    </row>
    <row r="392" spans="1:20" ht="12.75">
      <c r="A392" s="429">
        <v>22</v>
      </c>
      <c r="B392" s="455" t="s">
        <v>1474</v>
      </c>
      <c r="C392" s="470">
        <f>('[4]Bieu 57'!D392)/1000000</f>
        <v>40</v>
      </c>
      <c r="D392" s="470">
        <f>('[4]Bieu 57'!I392)/1000000</f>
        <v>40</v>
      </c>
      <c r="E392" s="468"/>
      <c r="F392" s="468"/>
      <c r="G392" s="468"/>
      <c r="H392" s="468"/>
      <c r="I392" s="468"/>
      <c r="J392" s="468"/>
      <c r="K392" s="468"/>
      <c r="L392" s="468"/>
      <c r="M392" s="468"/>
      <c r="N392" s="468"/>
      <c r="O392" s="468"/>
      <c r="P392" s="468"/>
      <c r="Q392" s="339">
        <f t="shared" si="49"/>
        <v>40</v>
      </c>
      <c r="R392" s="468"/>
      <c r="S392" s="468"/>
      <c r="T392" s="468"/>
    </row>
    <row r="393" spans="1:20" ht="12.75">
      <c r="A393" s="429">
        <v>23</v>
      </c>
      <c r="B393" s="455" t="s">
        <v>1475</v>
      </c>
      <c r="C393" s="470">
        <f>('[4]Bieu 57'!D393)/1000000</f>
        <v>80</v>
      </c>
      <c r="D393" s="470">
        <f>('[4]Bieu 57'!I393)/1000000</f>
        <v>80</v>
      </c>
      <c r="E393" s="468"/>
      <c r="F393" s="468"/>
      <c r="G393" s="468"/>
      <c r="H393" s="468"/>
      <c r="I393" s="468"/>
      <c r="J393" s="468"/>
      <c r="K393" s="468"/>
      <c r="L393" s="468"/>
      <c r="M393" s="468"/>
      <c r="N393" s="468"/>
      <c r="O393" s="468"/>
      <c r="P393" s="468"/>
      <c r="Q393" s="339">
        <f t="shared" si="49"/>
        <v>80</v>
      </c>
      <c r="R393" s="468"/>
      <c r="S393" s="468"/>
      <c r="T393" s="468"/>
    </row>
    <row r="394" spans="1:20" ht="12.75">
      <c r="A394" s="429">
        <v>24</v>
      </c>
      <c r="B394" s="455" t="s">
        <v>1476</v>
      </c>
      <c r="C394" s="470">
        <f>('[4]Bieu 57'!D394)/1000000</f>
        <v>80</v>
      </c>
      <c r="D394" s="470">
        <f>('[4]Bieu 57'!I394)/1000000</f>
        <v>80</v>
      </c>
      <c r="E394" s="468"/>
      <c r="F394" s="468"/>
      <c r="G394" s="468"/>
      <c r="H394" s="468"/>
      <c r="I394" s="468"/>
      <c r="J394" s="468"/>
      <c r="K394" s="468"/>
      <c r="L394" s="468"/>
      <c r="M394" s="468"/>
      <c r="N394" s="468"/>
      <c r="O394" s="468"/>
      <c r="P394" s="468"/>
      <c r="Q394" s="339">
        <f t="shared" si="49"/>
        <v>80</v>
      </c>
      <c r="R394" s="468"/>
      <c r="S394" s="468"/>
      <c r="T394" s="468"/>
    </row>
    <row r="395" spans="1:20" ht="12.75">
      <c r="A395" s="429">
        <v>25</v>
      </c>
      <c r="B395" s="455" t="s">
        <v>1477</v>
      </c>
      <c r="C395" s="470">
        <f>('[4]Bieu 57'!D395)/1000000</f>
        <v>80</v>
      </c>
      <c r="D395" s="470">
        <f>('[4]Bieu 57'!I395)/1000000</f>
        <v>80</v>
      </c>
      <c r="E395" s="468"/>
      <c r="F395" s="468"/>
      <c r="G395" s="468"/>
      <c r="H395" s="468"/>
      <c r="I395" s="468"/>
      <c r="J395" s="468"/>
      <c r="K395" s="468"/>
      <c r="L395" s="468"/>
      <c r="M395" s="468"/>
      <c r="N395" s="468"/>
      <c r="O395" s="468"/>
      <c r="P395" s="468"/>
      <c r="Q395" s="339">
        <f t="shared" si="49"/>
        <v>80</v>
      </c>
      <c r="R395" s="468"/>
      <c r="S395" s="468"/>
      <c r="T395" s="468"/>
    </row>
    <row r="396" spans="1:20" ht="12.75">
      <c r="A396" s="429">
        <v>26</v>
      </c>
      <c r="B396" s="455" t="s">
        <v>1478</v>
      </c>
      <c r="C396" s="470">
        <f>('[4]Bieu 57'!D396)/1000000</f>
        <v>110</v>
      </c>
      <c r="D396" s="470">
        <f>('[4]Bieu 57'!I396)/1000000</f>
        <v>110</v>
      </c>
      <c r="E396" s="468"/>
      <c r="F396" s="468"/>
      <c r="G396" s="468"/>
      <c r="H396" s="468"/>
      <c r="I396" s="468"/>
      <c r="J396" s="468"/>
      <c r="K396" s="468"/>
      <c r="L396" s="468"/>
      <c r="M396" s="468"/>
      <c r="N396" s="468"/>
      <c r="O396" s="468"/>
      <c r="P396" s="468"/>
      <c r="Q396" s="339">
        <f t="shared" si="49"/>
        <v>110</v>
      </c>
      <c r="R396" s="468"/>
      <c r="S396" s="468"/>
      <c r="T396" s="468"/>
    </row>
    <row r="397" spans="1:20" ht="12.75">
      <c r="A397" s="429">
        <v>27</v>
      </c>
      <c r="B397" s="455" t="s">
        <v>1479</v>
      </c>
      <c r="C397" s="470">
        <f>('[4]Bieu 57'!D397)/1000000</f>
        <v>88.3</v>
      </c>
      <c r="D397" s="470">
        <f>('[4]Bieu 57'!I397)/1000000</f>
        <v>88.3</v>
      </c>
      <c r="E397" s="468"/>
      <c r="F397" s="468"/>
      <c r="G397" s="468"/>
      <c r="H397" s="468"/>
      <c r="I397" s="468"/>
      <c r="J397" s="468"/>
      <c r="K397" s="468"/>
      <c r="L397" s="468"/>
      <c r="M397" s="468"/>
      <c r="N397" s="468"/>
      <c r="O397" s="468"/>
      <c r="P397" s="468"/>
      <c r="Q397" s="339">
        <f t="shared" si="49"/>
        <v>88.3</v>
      </c>
      <c r="R397" s="468"/>
      <c r="S397" s="468"/>
      <c r="T397" s="468"/>
    </row>
    <row r="398" spans="1:20" ht="12.75">
      <c r="A398" s="429">
        <v>28</v>
      </c>
      <c r="B398" s="455" t="s">
        <v>1480</v>
      </c>
      <c r="C398" s="470">
        <f>('[4]Bieu 57'!D398)/1000000</f>
        <v>80</v>
      </c>
      <c r="D398" s="470">
        <f>('[4]Bieu 57'!I398)/1000000</f>
        <v>80</v>
      </c>
      <c r="E398" s="468"/>
      <c r="F398" s="468"/>
      <c r="G398" s="468"/>
      <c r="H398" s="468"/>
      <c r="I398" s="468"/>
      <c r="J398" s="468"/>
      <c r="K398" s="468"/>
      <c r="L398" s="468"/>
      <c r="M398" s="468"/>
      <c r="N398" s="468"/>
      <c r="O398" s="468"/>
      <c r="P398" s="468"/>
      <c r="Q398" s="339">
        <f t="shared" si="49"/>
        <v>80</v>
      </c>
      <c r="R398" s="468"/>
      <c r="S398" s="468"/>
      <c r="T398" s="468"/>
    </row>
    <row r="399" spans="1:20" s="422" customFormat="1" ht="12.75">
      <c r="A399" s="427" t="s">
        <v>1481</v>
      </c>
      <c r="B399" s="364" t="s">
        <v>1482</v>
      </c>
      <c r="C399" s="469">
        <f>C400+C411+C421+C423+C427+C428+C430+C432+C434+C435+C436</f>
        <v>18615.593</v>
      </c>
      <c r="D399" s="469">
        <f>D400+D411+D421+D423+D427+D428+D430+D432+D434+D435+D436</f>
        <v>17667.103000000003</v>
      </c>
      <c r="E399" s="469">
        <f aca="true" t="shared" si="50" ref="E399:T399">E400+E411+E421+E423+E427+E428+E430+E432+E434+E435+E436</f>
        <v>0</v>
      </c>
      <c r="F399" s="469">
        <f t="shared" si="50"/>
        <v>0</v>
      </c>
      <c r="G399" s="469">
        <f t="shared" si="50"/>
        <v>0</v>
      </c>
      <c r="H399" s="469">
        <f t="shared" si="50"/>
        <v>0</v>
      </c>
      <c r="I399" s="469">
        <f t="shared" si="50"/>
        <v>0</v>
      </c>
      <c r="J399" s="469">
        <f t="shared" si="50"/>
        <v>0</v>
      </c>
      <c r="K399" s="469">
        <f t="shared" si="50"/>
        <v>0</v>
      </c>
      <c r="L399" s="469">
        <f t="shared" si="50"/>
        <v>0</v>
      </c>
      <c r="M399" s="469">
        <f t="shared" si="50"/>
        <v>0</v>
      </c>
      <c r="N399" s="469">
        <f t="shared" si="50"/>
        <v>0</v>
      </c>
      <c r="O399" s="469">
        <f t="shared" si="50"/>
        <v>0</v>
      </c>
      <c r="P399" s="469">
        <f t="shared" si="50"/>
        <v>0</v>
      </c>
      <c r="Q399" s="469">
        <f t="shared" si="50"/>
        <v>0</v>
      </c>
      <c r="R399" s="469">
        <f t="shared" si="50"/>
        <v>17667.103000000003</v>
      </c>
      <c r="S399" s="469">
        <f t="shared" si="50"/>
        <v>0</v>
      </c>
      <c r="T399" s="469">
        <f t="shared" si="50"/>
        <v>0</v>
      </c>
    </row>
    <row r="400" spans="1:20" s="444" customFormat="1" ht="12.75">
      <c r="A400" s="439">
        <v>1</v>
      </c>
      <c r="B400" s="440" t="s">
        <v>1483</v>
      </c>
      <c r="C400" s="473">
        <f>SUM(C401:C410)</f>
        <v>12581.393</v>
      </c>
      <c r="D400" s="473">
        <f aca="true" t="shared" si="51" ref="D400:T400">SUM(D401:D410)</f>
        <v>12331.0299</v>
      </c>
      <c r="E400" s="473">
        <f t="shared" si="51"/>
        <v>0</v>
      </c>
      <c r="F400" s="473">
        <f t="shared" si="51"/>
        <v>0</v>
      </c>
      <c r="G400" s="473">
        <f t="shared" si="51"/>
        <v>0</v>
      </c>
      <c r="H400" s="473">
        <f t="shared" si="51"/>
        <v>0</v>
      </c>
      <c r="I400" s="473">
        <f t="shared" si="51"/>
        <v>0</v>
      </c>
      <c r="J400" s="473">
        <f t="shared" si="51"/>
        <v>0</v>
      </c>
      <c r="K400" s="473">
        <f t="shared" si="51"/>
        <v>0</v>
      </c>
      <c r="L400" s="473">
        <f t="shared" si="51"/>
        <v>0</v>
      </c>
      <c r="M400" s="473">
        <f t="shared" si="51"/>
        <v>0</v>
      </c>
      <c r="N400" s="473">
        <f t="shared" si="51"/>
        <v>0</v>
      </c>
      <c r="O400" s="473">
        <f t="shared" si="51"/>
        <v>0</v>
      </c>
      <c r="P400" s="473">
        <f t="shared" si="51"/>
        <v>0</v>
      </c>
      <c r="Q400" s="473">
        <f t="shared" si="51"/>
        <v>0</v>
      </c>
      <c r="R400" s="473">
        <f t="shared" si="51"/>
        <v>12331.0299</v>
      </c>
      <c r="S400" s="473">
        <f t="shared" si="51"/>
        <v>0</v>
      </c>
      <c r="T400" s="473">
        <f t="shared" si="51"/>
        <v>0</v>
      </c>
    </row>
    <row r="401" spans="1:20" ht="12.75">
      <c r="A401" s="423"/>
      <c r="B401" s="438" t="s">
        <v>1484</v>
      </c>
      <c r="C401" s="470">
        <f>('[4]Bieu 57'!D401)/1000000</f>
        <v>983.471</v>
      </c>
      <c r="D401" s="470">
        <f>('[4]Bieu 57'!I401)/1000000</f>
        <v>983.471</v>
      </c>
      <c r="E401" s="468"/>
      <c r="F401" s="468"/>
      <c r="G401" s="468"/>
      <c r="H401" s="468"/>
      <c r="I401" s="468"/>
      <c r="J401" s="468"/>
      <c r="K401" s="468"/>
      <c r="L401" s="468"/>
      <c r="M401" s="468"/>
      <c r="N401" s="468"/>
      <c r="O401" s="468"/>
      <c r="P401" s="468"/>
      <c r="Q401" s="468"/>
      <c r="R401" s="339">
        <f>D401</f>
        <v>983.471</v>
      </c>
      <c r="S401" s="468"/>
      <c r="T401" s="468"/>
    </row>
    <row r="402" spans="1:20" ht="12.75">
      <c r="A402" s="423"/>
      <c r="B402" s="438" t="s">
        <v>1485</v>
      </c>
      <c r="C402" s="470">
        <f>('[4]Bieu 57'!D402)/1000000</f>
        <v>2477.583</v>
      </c>
      <c r="D402" s="470">
        <f>('[4]Bieu 57'!I402)/1000000</f>
        <v>2477.583</v>
      </c>
      <c r="E402" s="468"/>
      <c r="F402" s="468"/>
      <c r="G402" s="468"/>
      <c r="H402" s="468"/>
      <c r="I402" s="468"/>
      <c r="J402" s="468"/>
      <c r="K402" s="468"/>
      <c r="L402" s="468"/>
      <c r="M402" s="468"/>
      <c r="N402" s="468"/>
      <c r="O402" s="468"/>
      <c r="P402" s="468"/>
      <c r="Q402" s="468"/>
      <c r="R402" s="339">
        <f aca="true" t="shared" si="52" ref="R402:R444">D402</f>
        <v>2477.583</v>
      </c>
      <c r="S402" s="468"/>
      <c r="T402" s="468"/>
    </row>
    <row r="403" spans="1:20" ht="12.75">
      <c r="A403" s="423"/>
      <c r="B403" s="438" t="s">
        <v>1486</v>
      </c>
      <c r="C403" s="470">
        <f>('[4]Bieu 57'!D403)/1000000</f>
        <v>2338.222</v>
      </c>
      <c r="D403" s="470">
        <f>('[4]Bieu 57'!I403)/1000000</f>
        <v>2274.8881</v>
      </c>
      <c r="E403" s="468"/>
      <c r="F403" s="468"/>
      <c r="G403" s="468"/>
      <c r="H403" s="468"/>
      <c r="I403" s="468"/>
      <c r="J403" s="468"/>
      <c r="K403" s="468"/>
      <c r="L403" s="468"/>
      <c r="M403" s="468"/>
      <c r="N403" s="468"/>
      <c r="O403" s="468"/>
      <c r="P403" s="468"/>
      <c r="Q403" s="468"/>
      <c r="R403" s="339">
        <f t="shared" si="52"/>
        <v>2274.8881</v>
      </c>
      <c r="S403" s="468"/>
      <c r="T403" s="468"/>
    </row>
    <row r="404" spans="1:20" ht="12.75">
      <c r="A404" s="423"/>
      <c r="B404" s="438" t="s">
        <v>1487</v>
      </c>
      <c r="C404" s="470">
        <f>('[4]Bieu 57'!D404)/1000000</f>
        <v>890</v>
      </c>
      <c r="D404" s="470">
        <f>('[4]Bieu 57'!I404)/1000000</f>
        <v>890</v>
      </c>
      <c r="E404" s="468"/>
      <c r="F404" s="468"/>
      <c r="G404" s="468"/>
      <c r="H404" s="468"/>
      <c r="I404" s="468"/>
      <c r="J404" s="468"/>
      <c r="K404" s="468"/>
      <c r="L404" s="468"/>
      <c r="M404" s="468"/>
      <c r="N404" s="468"/>
      <c r="O404" s="468"/>
      <c r="P404" s="468"/>
      <c r="Q404" s="468"/>
      <c r="R404" s="339">
        <f t="shared" si="52"/>
        <v>890</v>
      </c>
      <c r="S404" s="468"/>
      <c r="T404" s="468"/>
    </row>
    <row r="405" spans="1:20" ht="12.75">
      <c r="A405" s="423"/>
      <c r="B405" s="438" t="s">
        <v>1488</v>
      </c>
      <c r="C405" s="470">
        <f>('[4]Bieu 57'!D405)/1000000</f>
        <v>1932.659</v>
      </c>
      <c r="D405" s="470">
        <f>('[4]Bieu 57'!I405)/1000000</f>
        <v>1932.659</v>
      </c>
      <c r="E405" s="468"/>
      <c r="F405" s="468"/>
      <c r="G405" s="468"/>
      <c r="H405" s="468"/>
      <c r="I405" s="468"/>
      <c r="J405" s="468"/>
      <c r="K405" s="468"/>
      <c r="L405" s="468"/>
      <c r="M405" s="468"/>
      <c r="N405" s="468"/>
      <c r="O405" s="468"/>
      <c r="P405" s="468"/>
      <c r="Q405" s="468"/>
      <c r="R405" s="339">
        <f t="shared" si="52"/>
        <v>1932.659</v>
      </c>
      <c r="S405" s="468"/>
      <c r="T405" s="468"/>
    </row>
    <row r="406" spans="1:20" ht="12.75">
      <c r="A406" s="423"/>
      <c r="B406" s="438" t="s">
        <v>1489</v>
      </c>
      <c r="C406" s="470">
        <f>('[4]Bieu 57'!D406)/1000000</f>
        <v>726.152</v>
      </c>
      <c r="D406" s="470">
        <f>('[4]Bieu 57'!I406)/1000000</f>
        <v>708.032</v>
      </c>
      <c r="E406" s="468"/>
      <c r="F406" s="468"/>
      <c r="G406" s="468"/>
      <c r="H406" s="468"/>
      <c r="I406" s="468"/>
      <c r="J406" s="468"/>
      <c r="K406" s="468"/>
      <c r="L406" s="468"/>
      <c r="M406" s="468"/>
      <c r="N406" s="468"/>
      <c r="O406" s="468"/>
      <c r="P406" s="468"/>
      <c r="Q406" s="468"/>
      <c r="R406" s="339">
        <f t="shared" si="52"/>
        <v>708.032</v>
      </c>
      <c r="S406" s="468"/>
      <c r="T406" s="468"/>
    </row>
    <row r="407" spans="1:20" ht="12.75">
      <c r="A407" s="423"/>
      <c r="B407" s="430" t="s">
        <v>1490</v>
      </c>
      <c r="C407" s="470">
        <f>('[4]Bieu 57'!D407)/1000000</f>
        <v>2586.2</v>
      </c>
      <c r="D407" s="470">
        <f>('[4]Bieu 57'!I407)/1000000</f>
        <v>2417.2908</v>
      </c>
      <c r="E407" s="468"/>
      <c r="F407" s="468"/>
      <c r="G407" s="468"/>
      <c r="H407" s="468"/>
      <c r="I407" s="468"/>
      <c r="J407" s="468"/>
      <c r="K407" s="468"/>
      <c r="L407" s="468"/>
      <c r="M407" s="468"/>
      <c r="N407" s="468"/>
      <c r="O407" s="468"/>
      <c r="P407" s="468"/>
      <c r="Q407" s="468"/>
      <c r="R407" s="339">
        <f t="shared" si="52"/>
        <v>2417.2908</v>
      </c>
      <c r="S407" s="468"/>
      <c r="T407" s="468"/>
    </row>
    <row r="408" spans="1:20" ht="12.75">
      <c r="A408" s="423"/>
      <c r="B408" s="424" t="s">
        <v>1491</v>
      </c>
      <c r="C408" s="470">
        <f>('[4]Bieu 57'!D408)/1000000</f>
        <v>188.506</v>
      </c>
      <c r="D408" s="470">
        <f>('[4]Bieu 57'!I408)/1000000</f>
        <v>188.506</v>
      </c>
      <c r="E408" s="468"/>
      <c r="F408" s="468"/>
      <c r="G408" s="468"/>
      <c r="H408" s="468"/>
      <c r="I408" s="468"/>
      <c r="J408" s="468"/>
      <c r="K408" s="468"/>
      <c r="L408" s="468"/>
      <c r="M408" s="468"/>
      <c r="N408" s="468"/>
      <c r="O408" s="468"/>
      <c r="P408" s="468"/>
      <c r="Q408" s="468"/>
      <c r="R408" s="339">
        <f t="shared" si="52"/>
        <v>188.506</v>
      </c>
      <c r="S408" s="468"/>
      <c r="T408" s="468"/>
    </row>
    <row r="409" spans="1:20" ht="12.75">
      <c r="A409" s="423"/>
      <c r="B409" s="424" t="s">
        <v>1445</v>
      </c>
      <c r="C409" s="470">
        <f>('[4]Bieu 57'!D409)/1000000</f>
        <v>16</v>
      </c>
      <c r="D409" s="470">
        <f>('[4]Bieu 57'!I409)/1000000</f>
        <v>16</v>
      </c>
      <c r="E409" s="468"/>
      <c r="F409" s="468"/>
      <c r="G409" s="468"/>
      <c r="H409" s="468"/>
      <c r="I409" s="468"/>
      <c r="J409" s="468"/>
      <c r="K409" s="468"/>
      <c r="L409" s="468"/>
      <c r="M409" s="468"/>
      <c r="N409" s="468"/>
      <c r="O409" s="468"/>
      <c r="P409" s="468"/>
      <c r="Q409" s="468"/>
      <c r="R409" s="339">
        <f t="shared" si="52"/>
        <v>16</v>
      </c>
      <c r="S409" s="468"/>
      <c r="T409" s="468"/>
    </row>
    <row r="410" spans="1:20" ht="12.75">
      <c r="A410" s="446"/>
      <c r="B410" s="424" t="s">
        <v>1492</v>
      </c>
      <c r="C410" s="470">
        <f>('[4]Bieu 57'!D410)/1000000</f>
        <v>442.6</v>
      </c>
      <c r="D410" s="470">
        <f>('[4]Bieu 57'!I410)/1000000</f>
        <v>442.6</v>
      </c>
      <c r="E410" s="468"/>
      <c r="F410" s="468"/>
      <c r="G410" s="468"/>
      <c r="H410" s="468"/>
      <c r="I410" s="468"/>
      <c r="J410" s="468"/>
      <c r="K410" s="468"/>
      <c r="L410" s="468"/>
      <c r="M410" s="468"/>
      <c r="N410" s="468"/>
      <c r="O410" s="468"/>
      <c r="P410" s="468"/>
      <c r="Q410" s="468"/>
      <c r="R410" s="339">
        <f t="shared" si="52"/>
        <v>442.6</v>
      </c>
      <c r="S410" s="468"/>
      <c r="T410" s="468"/>
    </row>
    <row r="411" spans="1:20" s="422" customFormat="1" ht="12.75">
      <c r="A411" s="439">
        <v>2</v>
      </c>
      <c r="B411" s="440" t="s">
        <v>1493</v>
      </c>
      <c r="C411" s="469">
        <f>SUM(C412:C420)</f>
        <v>1815.2</v>
      </c>
      <c r="D411" s="469">
        <f aca="true" t="shared" si="53" ref="D411:T411">SUM(D412:D420)</f>
        <v>1815.2</v>
      </c>
      <c r="E411" s="469">
        <f t="shared" si="53"/>
        <v>0</v>
      </c>
      <c r="F411" s="469">
        <f t="shared" si="53"/>
        <v>0</v>
      </c>
      <c r="G411" s="469">
        <f t="shared" si="53"/>
        <v>0</v>
      </c>
      <c r="H411" s="469">
        <f t="shared" si="53"/>
        <v>0</v>
      </c>
      <c r="I411" s="469">
        <f t="shared" si="53"/>
        <v>0</v>
      </c>
      <c r="J411" s="469">
        <f t="shared" si="53"/>
        <v>0</v>
      </c>
      <c r="K411" s="469">
        <f t="shared" si="53"/>
        <v>0</v>
      </c>
      <c r="L411" s="469">
        <f t="shared" si="53"/>
        <v>0</v>
      </c>
      <c r="M411" s="469">
        <f t="shared" si="53"/>
        <v>0</v>
      </c>
      <c r="N411" s="469">
        <f t="shared" si="53"/>
        <v>0</v>
      </c>
      <c r="O411" s="469">
        <f t="shared" si="53"/>
        <v>0</v>
      </c>
      <c r="P411" s="469">
        <f t="shared" si="53"/>
        <v>0</v>
      </c>
      <c r="Q411" s="469">
        <f t="shared" si="53"/>
        <v>0</v>
      </c>
      <c r="R411" s="469">
        <f t="shared" si="53"/>
        <v>1815.2</v>
      </c>
      <c r="S411" s="469">
        <f t="shared" si="53"/>
        <v>0</v>
      </c>
      <c r="T411" s="469">
        <f t="shared" si="53"/>
        <v>0</v>
      </c>
    </row>
    <row r="412" spans="1:20" ht="12.75">
      <c r="A412" s="423"/>
      <c r="B412" s="425" t="s">
        <v>1494</v>
      </c>
      <c r="C412" s="470">
        <f>('[4]Bieu 57'!D412)/1000000</f>
        <v>82.9</v>
      </c>
      <c r="D412" s="470">
        <f>('[4]Bieu 57'!I412)/1000000</f>
        <v>82.9</v>
      </c>
      <c r="E412" s="468"/>
      <c r="F412" s="468"/>
      <c r="G412" s="468"/>
      <c r="H412" s="468"/>
      <c r="I412" s="468"/>
      <c r="J412" s="468"/>
      <c r="K412" s="468"/>
      <c r="L412" s="468"/>
      <c r="M412" s="468"/>
      <c r="N412" s="468"/>
      <c r="O412" s="468"/>
      <c r="P412" s="468"/>
      <c r="Q412" s="468"/>
      <c r="R412" s="339">
        <f t="shared" si="52"/>
        <v>82.9</v>
      </c>
      <c r="S412" s="468"/>
      <c r="T412" s="468"/>
    </row>
    <row r="413" spans="1:20" ht="12.75">
      <c r="A413" s="423"/>
      <c r="B413" s="425" t="s">
        <v>1495</v>
      </c>
      <c r="C413" s="470">
        <f>('[4]Bieu 57'!D413)/1000000</f>
        <v>23.6</v>
      </c>
      <c r="D413" s="470">
        <f>('[4]Bieu 57'!I413)/1000000</f>
        <v>23.6</v>
      </c>
      <c r="E413" s="468"/>
      <c r="F413" s="468"/>
      <c r="G413" s="468"/>
      <c r="H413" s="468"/>
      <c r="I413" s="468"/>
      <c r="J413" s="468"/>
      <c r="K413" s="468"/>
      <c r="L413" s="468"/>
      <c r="M413" s="468"/>
      <c r="N413" s="468"/>
      <c r="O413" s="468"/>
      <c r="P413" s="468"/>
      <c r="Q413" s="468"/>
      <c r="R413" s="339">
        <f t="shared" si="52"/>
        <v>23.6</v>
      </c>
      <c r="S413" s="468"/>
      <c r="T413" s="468"/>
    </row>
    <row r="414" spans="1:20" ht="12.75">
      <c r="A414" s="423"/>
      <c r="B414" s="425" t="s">
        <v>1496</v>
      </c>
      <c r="C414" s="470">
        <f>('[4]Bieu 57'!D414)/1000000</f>
        <v>539.4</v>
      </c>
      <c r="D414" s="470">
        <f>('[4]Bieu 57'!I414)/1000000</f>
        <v>539.4</v>
      </c>
      <c r="E414" s="468"/>
      <c r="F414" s="468"/>
      <c r="G414" s="468"/>
      <c r="H414" s="468"/>
      <c r="I414" s="468"/>
      <c r="J414" s="468"/>
      <c r="K414" s="468"/>
      <c r="L414" s="468"/>
      <c r="M414" s="468"/>
      <c r="N414" s="468"/>
      <c r="O414" s="468"/>
      <c r="P414" s="468"/>
      <c r="Q414" s="468"/>
      <c r="R414" s="339">
        <f t="shared" si="52"/>
        <v>539.4</v>
      </c>
      <c r="S414" s="468"/>
      <c r="T414" s="468"/>
    </row>
    <row r="415" spans="1:20" ht="12.75">
      <c r="A415" s="423"/>
      <c r="B415" s="425" t="s">
        <v>1497</v>
      </c>
      <c r="C415" s="470">
        <f>('[4]Bieu 57'!D415)/1000000</f>
        <v>395.5</v>
      </c>
      <c r="D415" s="470">
        <f>('[4]Bieu 57'!I415)/1000000</f>
        <v>395.5</v>
      </c>
      <c r="E415" s="468"/>
      <c r="F415" s="468"/>
      <c r="G415" s="468"/>
      <c r="H415" s="468"/>
      <c r="I415" s="468"/>
      <c r="J415" s="468"/>
      <c r="K415" s="468"/>
      <c r="L415" s="468"/>
      <c r="M415" s="468"/>
      <c r="N415" s="468"/>
      <c r="O415" s="468"/>
      <c r="P415" s="468"/>
      <c r="Q415" s="468"/>
      <c r="R415" s="339">
        <f t="shared" si="52"/>
        <v>395.5</v>
      </c>
      <c r="S415" s="468"/>
      <c r="T415" s="468"/>
    </row>
    <row r="416" spans="1:20" ht="12.75">
      <c r="A416" s="423"/>
      <c r="B416" s="425" t="s">
        <v>1498</v>
      </c>
      <c r="C416" s="470">
        <f>('[4]Bieu 57'!D416)/1000000</f>
        <v>259.2</v>
      </c>
      <c r="D416" s="470">
        <f>('[4]Bieu 57'!I416)/1000000</f>
        <v>259.2</v>
      </c>
      <c r="E416" s="468"/>
      <c r="F416" s="468"/>
      <c r="G416" s="468"/>
      <c r="H416" s="468"/>
      <c r="I416" s="468"/>
      <c r="J416" s="468"/>
      <c r="K416" s="468"/>
      <c r="L416" s="468"/>
      <c r="M416" s="468"/>
      <c r="N416" s="468"/>
      <c r="O416" s="468"/>
      <c r="P416" s="468"/>
      <c r="Q416" s="468"/>
      <c r="R416" s="339">
        <f t="shared" si="52"/>
        <v>259.2</v>
      </c>
      <c r="S416" s="468"/>
      <c r="T416" s="468"/>
    </row>
    <row r="417" spans="1:20" ht="12.75">
      <c r="A417" s="423"/>
      <c r="B417" s="425" t="s">
        <v>1499</v>
      </c>
      <c r="C417" s="470">
        <f>('[4]Bieu 57'!D417)/1000000</f>
        <v>225.7</v>
      </c>
      <c r="D417" s="470">
        <f>('[4]Bieu 57'!I417)/1000000</f>
        <v>225.7</v>
      </c>
      <c r="E417" s="468"/>
      <c r="F417" s="468"/>
      <c r="G417" s="468"/>
      <c r="H417" s="468"/>
      <c r="I417" s="468"/>
      <c r="J417" s="468"/>
      <c r="K417" s="468"/>
      <c r="L417" s="468"/>
      <c r="M417" s="468"/>
      <c r="N417" s="468"/>
      <c r="O417" s="468"/>
      <c r="P417" s="468"/>
      <c r="Q417" s="468"/>
      <c r="R417" s="339">
        <f t="shared" si="52"/>
        <v>225.7</v>
      </c>
      <c r="S417" s="468"/>
      <c r="T417" s="468"/>
    </row>
    <row r="418" spans="1:20" ht="12.75">
      <c r="A418" s="423"/>
      <c r="B418" s="425" t="s">
        <v>1500</v>
      </c>
      <c r="C418" s="470">
        <f>('[4]Bieu 57'!D418)/1000000</f>
        <v>47.2</v>
      </c>
      <c r="D418" s="470">
        <f>('[4]Bieu 57'!I418)/1000000</f>
        <v>47.2</v>
      </c>
      <c r="E418" s="468"/>
      <c r="F418" s="468"/>
      <c r="G418" s="468"/>
      <c r="H418" s="468"/>
      <c r="I418" s="468"/>
      <c r="J418" s="468"/>
      <c r="K418" s="468"/>
      <c r="L418" s="468"/>
      <c r="M418" s="468"/>
      <c r="N418" s="468"/>
      <c r="O418" s="468"/>
      <c r="P418" s="468"/>
      <c r="Q418" s="468"/>
      <c r="R418" s="339">
        <f t="shared" si="52"/>
        <v>47.2</v>
      </c>
      <c r="S418" s="468"/>
      <c r="T418" s="468"/>
    </row>
    <row r="419" spans="1:20" ht="12.75">
      <c r="A419" s="423"/>
      <c r="B419" s="425" t="s">
        <v>1501</v>
      </c>
      <c r="C419" s="470">
        <f>('[4]Bieu 57'!D419)/1000000</f>
        <v>118.6</v>
      </c>
      <c r="D419" s="470">
        <f>('[4]Bieu 57'!I419)/1000000</f>
        <v>118.6</v>
      </c>
      <c r="E419" s="468"/>
      <c r="F419" s="468"/>
      <c r="G419" s="468"/>
      <c r="H419" s="468"/>
      <c r="I419" s="468"/>
      <c r="J419" s="468"/>
      <c r="K419" s="468"/>
      <c r="L419" s="468"/>
      <c r="M419" s="468"/>
      <c r="N419" s="468"/>
      <c r="O419" s="468"/>
      <c r="P419" s="468"/>
      <c r="Q419" s="468"/>
      <c r="R419" s="339">
        <f t="shared" si="52"/>
        <v>118.6</v>
      </c>
      <c r="S419" s="468"/>
      <c r="T419" s="468"/>
    </row>
    <row r="420" spans="1:20" ht="12.75">
      <c r="A420" s="423"/>
      <c r="B420" s="425" t="s">
        <v>1502</v>
      </c>
      <c r="C420" s="470">
        <f>('[4]Bieu 57'!D420)/1000000</f>
        <v>123.1</v>
      </c>
      <c r="D420" s="470">
        <f>('[4]Bieu 57'!I420)/1000000</f>
        <v>123.1</v>
      </c>
      <c r="E420" s="468"/>
      <c r="F420" s="468"/>
      <c r="G420" s="468"/>
      <c r="H420" s="468"/>
      <c r="I420" s="468"/>
      <c r="J420" s="468"/>
      <c r="K420" s="468"/>
      <c r="L420" s="468"/>
      <c r="M420" s="468"/>
      <c r="N420" s="468"/>
      <c r="O420" s="468"/>
      <c r="P420" s="468"/>
      <c r="Q420" s="468"/>
      <c r="R420" s="339">
        <f t="shared" si="52"/>
        <v>123.1</v>
      </c>
      <c r="S420" s="468"/>
      <c r="T420" s="468"/>
    </row>
    <row r="421" spans="1:20" s="422" customFormat="1" ht="12.75">
      <c r="A421" s="439">
        <v>3</v>
      </c>
      <c r="B421" s="440" t="s">
        <v>1503</v>
      </c>
      <c r="C421" s="469">
        <f>C422</f>
        <v>150</v>
      </c>
      <c r="D421" s="469">
        <f aca="true" t="shared" si="54" ref="D421:T421">D422</f>
        <v>140.6974</v>
      </c>
      <c r="E421" s="469">
        <f t="shared" si="54"/>
        <v>0</v>
      </c>
      <c r="F421" s="469">
        <f t="shared" si="54"/>
        <v>0</v>
      </c>
      <c r="G421" s="469">
        <f t="shared" si="54"/>
        <v>0</v>
      </c>
      <c r="H421" s="469">
        <f t="shared" si="54"/>
        <v>0</v>
      </c>
      <c r="I421" s="469">
        <f t="shared" si="54"/>
        <v>0</v>
      </c>
      <c r="J421" s="469">
        <f t="shared" si="54"/>
        <v>0</v>
      </c>
      <c r="K421" s="469">
        <f t="shared" si="54"/>
        <v>0</v>
      </c>
      <c r="L421" s="469">
        <f t="shared" si="54"/>
        <v>0</v>
      </c>
      <c r="M421" s="469">
        <f t="shared" si="54"/>
        <v>0</v>
      </c>
      <c r="N421" s="469">
        <f t="shared" si="54"/>
        <v>0</v>
      </c>
      <c r="O421" s="469">
        <f t="shared" si="54"/>
        <v>0</v>
      </c>
      <c r="P421" s="469">
        <f t="shared" si="54"/>
        <v>0</v>
      </c>
      <c r="Q421" s="469">
        <f t="shared" si="54"/>
        <v>0</v>
      </c>
      <c r="R421" s="469">
        <f t="shared" si="54"/>
        <v>140.6974</v>
      </c>
      <c r="S421" s="469">
        <f t="shared" si="54"/>
        <v>0</v>
      </c>
      <c r="T421" s="469">
        <f t="shared" si="54"/>
        <v>0</v>
      </c>
    </row>
    <row r="422" spans="1:20" ht="12.75">
      <c r="A422" s="423"/>
      <c r="B422" s="425" t="s">
        <v>1490</v>
      </c>
      <c r="C422" s="470">
        <f>('[4]Bieu 57'!D422)/1000000</f>
        <v>150</v>
      </c>
      <c r="D422" s="470">
        <f>('[4]Bieu 57'!I422)/1000000</f>
        <v>140.6974</v>
      </c>
      <c r="E422" s="468"/>
      <c r="F422" s="468"/>
      <c r="G422" s="468"/>
      <c r="H422" s="468"/>
      <c r="I422" s="468"/>
      <c r="J422" s="468"/>
      <c r="K422" s="468"/>
      <c r="L422" s="468"/>
      <c r="M422" s="468"/>
      <c r="N422" s="468"/>
      <c r="O422" s="468"/>
      <c r="P422" s="468"/>
      <c r="Q422" s="468"/>
      <c r="R422" s="339">
        <f t="shared" si="52"/>
        <v>140.6974</v>
      </c>
      <c r="S422" s="468"/>
      <c r="T422" s="468"/>
    </row>
    <row r="423" spans="1:20" s="422" customFormat="1" ht="12.75">
      <c r="A423" s="439">
        <v>4</v>
      </c>
      <c r="B423" s="440" t="s">
        <v>1504</v>
      </c>
      <c r="C423" s="469">
        <f aca="true" t="shared" si="55" ref="C423:T423">SUM(C424:C426)</f>
        <v>980</v>
      </c>
      <c r="D423" s="469">
        <f t="shared" si="55"/>
        <v>976.5138</v>
      </c>
      <c r="E423" s="469">
        <f t="shared" si="55"/>
        <v>0</v>
      </c>
      <c r="F423" s="469">
        <f t="shared" si="55"/>
        <v>0</v>
      </c>
      <c r="G423" s="469">
        <f t="shared" si="55"/>
        <v>0</v>
      </c>
      <c r="H423" s="469">
        <f t="shared" si="55"/>
        <v>0</v>
      </c>
      <c r="I423" s="469">
        <f t="shared" si="55"/>
        <v>0</v>
      </c>
      <c r="J423" s="469">
        <f t="shared" si="55"/>
        <v>0</v>
      </c>
      <c r="K423" s="469">
        <f t="shared" si="55"/>
        <v>0</v>
      </c>
      <c r="L423" s="469">
        <f t="shared" si="55"/>
        <v>0</v>
      </c>
      <c r="M423" s="469">
        <f t="shared" si="55"/>
        <v>0</v>
      </c>
      <c r="N423" s="469">
        <f t="shared" si="55"/>
        <v>0</v>
      </c>
      <c r="O423" s="469">
        <f t="shared" si="55"/>
        <v>0</v>
      </c>
      <c r="P423" s="469">
        <f t="shared" si="55"/>
        <v>0</v>
      </c>
      <c r="Q423" s="469">
        <f t="shared" si="55"/>
        <v>0</v>
      </c>
      <c r="R423" s="469">
        <f t="shared" si="55"/>
        <v>976.5138</v>
      </c>
      <c r="S423" s="469">
        <f t="shared" si="55"/>
        <v>0</v>
      </c>
      <c r="T423" s="469">
        <f t="shared" si="55"/>
        <v>0</v>
      </c>
    </row>
    <row r="424" spans="1:20" ht="12.75">
      <c r="A424" s="423"/>
      <c r="B424" s="425" t="s">
        <v>1490</v>
      </c>
      <c r="C424" s="470">
        <f>('[4]Bieu 57'!D424)/1000000</f>
        <v>780</v>
      </c>
      <c r="D424" s="470">
        <f>('[4]Bieu 57'!I424)/1000000</f>
        <v>779.9638</v>
      </c>
      <c r="E424" s="468"/>
      <c r="F424" s="468"/>
      <c r="G424" s="468"/>
      <c r="H424" s="468"/>
      <c r="I424" s="468"/>
      <c r="J424" s="468"/>
      <c r="K424" s="468"/>
      <c r="L424" s="468"/>
      <c r="M424" s="468"/>
      <c r="N424" s="468"/>
      <c r="O424" s="468"/>
      <c r="P424" s="468"/>
      <c r="Q424" s="468"/>
      <c r="R424" s="339">
        <f t="shared" si="52"/>
        <v>779.9638</v>
      </c>
      <c r="S424" s="468"/>
      <c r="T424" s="468"/>
    </row>
    <row r="425" spans="1:20" ht="12.75">
      <c r="A425" s="423"/>
      <c r="B425" s="425" t="s">
        <v>1498</v>
      </c>
      <c r="C425" s="470">
        <f>('[4]Bieu 57'!D425)/1000000</f>
        <v>40</v>
      </c>
      <c r="D425" s="470">
        <f>('[4]Bieu 57'!I425)/1000000</f>
        <v>40</v>
      </c>
      <c r="E425" s="468"/>
      <c r="F425" s="468"/>
      <c r="G425" s="468"/>
      <c r="H425" s="468"/>
      <c r="I425" s="468"/>
      <c r="J425" s="468"/>
      <c r="K425" s="468"/>
      <c r="L425" s="468"/>
      <c r="M425" s="468"/>
      <c r="N425" s="468"/>
      <c r="O425" s="468"/>
      <c r="P425" s="468"/>
      <c r="Q425" s="468"/>
      <c r="R425" s="339">
        <f t="shared" si="52"/>
        <v>40</v>
      </c>
      <c r="S425" s="468"/>
      <c r="T425" s="468"/>
    </row>
    <row r="426" spans="1:20" ht="25.5">
      <c r="A426" s="423"/>
      <c r="B426" s="425" t="s">
        <v>1505</v>
      </c>
      <c r="C426" s="470">
        <f>('[4]Bieu 57'!D426)/1000000</f>
        <v>160</v>
      </c>
      <c r="D426" s="470">
        <f>('[4]Bieu 57'!I426)/1000000</f>
        <v>156.55</v>
      </c>
      <c r="E426" s="468"/>
      <c r="F426" s="468"/>
      <c r="G426" s="468"/>
      <c r="H426" s="468"/>
      <c r="I426" s="468"/>
      <c r="J426" s="468"/>
      <c r="K426" s="468"/>
      <c r="L426" s="468"/>
      <c r="M426" s="468"/>
      <c r="N426" s="468"/>
      <c r="O426" s="468"/>
      <c r="P426" s="468"/>
      <c r="Q426" s="468"/>
      <c r="R426" s="339">
        <f t="shared" si="52"/>
        <v>156.55</v>
      </c>
      <c r="S426" s="468"/>
      <c r="T426" s="468"/>
    </row>
    <row r="427" spans="1:20" s="444" customFormat="1" ht="12.75">
      <c r="A427" s="439">
        <v>5</v>
      </c>
      <c r="B427" s="440" t="s">
        <v>1506</v>
      </c>
      <c r="C427" s="470">
        <f>('[4]Bieu 57'!D427)/1000000</f>
        <v>375</v>
      </c>
      <c r="D427" s="470">
        <f>('[4]Bieu 57'!I427)/1000000</f>
        <v>375</v>
      </c>
      <c r="E427" s="474"/>
      <c r="F427" s="474"/>
      <c r="G427" s="474"/>
      <c r="H427" s="474"/>
      <c r="I427" s="474"/>
      <c r="J427" s="474"/>
      <c r="K427" s="474"/>
      <c r="L427" s="474"/>
      <c r="M427" s="474"/>
      <c r="N427" s="474"/>
      <c r="O427" s="474"/>
      <c r="P427" s="474"/>
      <c r="Q427" s="474"/>
      <c r="R427" s="471">
        <f t="shared" si="52"/>
        <v>375</v>
      </c>
      <c r="S427" s="474"/>
      <c r="T427" s="474"/>
    </row>
    <row r="428" spans="1:20" s="444" customFormat="1" ht="12.75">
      <c r="A428" s="439">
        <v>6</v>
      </c>
      <c r="B428" s="440" t="s">
        <v>1507</v>
      </c>
      <c r="C428" s="473">
        <f>C429</f>
        <v>130</v>
      </c>
      <c r="D428" s="473">
        <f aca="true" t="shared" si="56" ref="D428:T428">D429</f>
        <v>129.9085</v>
      </c>
      <c r="E428" s="473">
        <f t="shared" si="56"/>
        <v>0</v>
      </c>
      <c r="F428" s="473">
        <f t="shared" si="56"/>
        <v>0</v>
      </c>
      <c r="G428" s="473">
        <f t="shared" si="56"/>
        <v>0</v>
      </c>
      <c r="H428" s="473">
        <f t="shared" si="56"/>
        <v>0</v>
      </c>
      <c r="I428" s="473">
        <f t="shared" si="56"/>
        <v>0</v>
      </c>
      <c r="J428" s="473">
        <f t="shared" si="56"/>
        <v>0</v>
      </c>
      <c r="K428" s="473">
        <f t="shared" si="56"/>
        <v>0</v>
      </c>
      <c r="L428" s="473">
        <f t="shared" si="56"/>
        <v>0</v>
      </c>
      <c r="M428" s="473">
        <f t="shared" si="56"/>
        <v>0</v>
      </c>
      <c r="N428" s="473">
        <f t="shared" si="56"/>
        <v>0</v>
      </c>
      <c r="O428" s="473">
        <f t="shared" si="56"/>
        <v>0</v>
      </c>
      <c r="P428" s="473">
        <f t="shared" si="56"/>
        <v>0</v>
      </c>
      <c r="Q428" s="473">
        <f t="shared" si="56"/>
        <v>0</v>
      </c>
      <c r="R428" s="473">
        <f t="shared" si="56"/>
        <v>129.9085</v>
      </c>
      <c r="S428" s="473">
        <f t="shared" si="56"/>
        <v>0</v>
      </c>
      <c r="T428" s="473">
        <f t="shared" si="56"/>
        <v>0</v>
      </c>
    </row>
    <row r="429" spans="1:20" ht="12.75">
      <c r="A429" s="423"/>
      <c r="B429" s="425" t="s">
        <v>1490</v>
      </c>
      <c r="C429" s="470">
        <f>('[4]Bieu 57'!D429)/1000000</f>
        <v>130</v>
      </c>
      <c r="D429" s="470">
        <f>('[4]Bieu 57'!I429)/1000000</f>
        <v>129.9085</v>
      </c>
      <c r="E429" s="468"/>
      <c r="F429" s="468"/>
      <c r="G429" s="468"/>
      <c r="H429" s="468"/>
      <c r="I429" s="468"/>
      <c r="J429" s="468"/>
      <c r="K429" s="468"/>
      <c r="L429" s="468"/>
      <c r="M429" s="468"/>
      <c r="N429" s="468"/>
      <c r="O429" s="468"/>
      <c r="P429" s="468"/>
      <c r="Q429" s="468"/>
      <c r="R429" s="339">
        <f t="shared" si="52"/>
        <v>129.9085</v>
      </c>
      <c r="S429" s="468"/>
      <c r="T429" s="468"/>
    </row>
    <row r="430" spans="1:20" s="444" customFormat="1" ht="12.75">
      <c r="A430" s="439">
        <v>7</v>
      </c>
      <c r="B430" s="440" t="s">
        <v>1508</v>
      </c>
      <c r="C430" s="473">
        <f>C431</f>
        <v>100</v>
      </c>
      <c r="D430" s="473">
        <f aca="true" t="shared" si="57" ref="D430:T430">D431</f>
        <v>99.7549</v>
      </c>
      <c r="E430" s="473">
        <f t="shared" si="57"/>
        <v>0</v>
      </c>
      <c r="F430" s="473">
        <f t="shared" si="57"/>
        <v>0</v>
      </c>
      <c r="G430" s="473">
        <f t="shared" si="57"/>
        <v>0</v>
      </c>
      <c r="H430" s="473">
        <f t="shared" si="57"/>
        <v>0</v>
      </c>
      <c r="I430" s="473">
        <f t="shared" si="57"/>
        <v>0</v>
      </c>
      <c r="J430" s="473">
        <f t="shared" si="57"/>
        <v>0</v>
      </c>
      <c r="K430" s="473">
        <f t="shared" si="57"/>
        <v>0</v>
      </c>
      <c r="L430" s="473">
        <f t="shared" si="57"/>
        <v>0</v>
      </c>
      <c r="M430" s="473">
        <f t="shared" si="57"/>
        <v>0</v>
      </c>
      <c r="N430" s="473">
        <f t="shared" si="57"/>
        <v>0</v>
      </c>
      <c r="O430" s="473">
        <f t="shared" si="57"/>
        <v>0</v>
      </c>
      <c r="P430" s="473">
        <f t="shared" si="57"/>
        <v>0</v>
      </c>
      <c r="Q430" s="473">
        <f t="shared" si="57"/>
        <v>0</v>
      </c>
      <c r="R430" s="473">
        <f t="shared" si="57"/>
        <v>99.7549</v>
      </c>
      <c r="S430" s="473">
        <f t="shared" si="57"/>
        <v>0</v>
      </c>
      <c r="T430" s="473">
        <f t="shared" si="57"/>
        <v>0</v>
      </c>
    </row>
    <row r="431" spans="1:20" ht="12.75">
      <c r="A431" s="423"/>
      <c r="B431" s="425" t="s">
        <v>1490</v>
      </c>
      <c r="C431" s="470">
        <f>('[4]Bieu 57'!D431)/1000000</f>
        <v>100</v>
      </c>
      <c r="D431" s="470">
        <f>('[4]Bieu 57'!I431)/1000000</f>
        <v>99.7549</v>
      </c>
      <c r="E431" s="468"/>
      <c r="F431" s="468"/>
      <c r="G431" s="468"/>
      <c r="H431" s="468"/>
      <c r="I431" s="468"/>
      <c r="J431" s="468"/>
      <c r="K431" s="468"/>
      <c r="L431" s="468"/>
      <c r="M431" s="468"/>
      <c r="N431" s="468"/>
      <c r="O431" s="468"/>
      <c r="P431" s="468"/>
      <c r="Q431" s="468"/>
      <c r="R431" s="339">
        <f t="shared" si="52"/>
        <v>99.7549</v>
      </c>
      <c r="S431" s="468"/>
      <c r="T431" s="468"/>
    </row>
    <row r="432" spans="1:20" s="444" customFormat="1" ht="25.5">
      <c r="A432" s="439">
        <v>8</v>
      </c>
      <c r="B432" s="440" t="s">
        <v>1509</v>
      </c>
      <c r="C432" s="473">
        <f>C433</f>
        <v>600</v>
      </c>
      <c r="D432" s="473">
        <f aca="true" t="shared" si="58" ref="D432:T432">D433</f>
        <v>563.9</v>
      </c>
      <c r="E432" s="473">
        <f t="shared" si="58"/>
        <v>0</v>
      </c>
      <c r="F432" s="473">
        <f t="shared" si="58"/>
        <v>0</v>
      </c>
      <c r="G432" s="473">
        <f t="shared" si="58"/>
        <v>0</v>
      </c>
      <c r="H432" s="473">
        <f t="shared" si="58"/>
        <v>0</v>
      </c>
      <c r="I432" s="473">
        <f t="shared" si="58"/>
        <v>0</v>
      </c>
      <c r="J432" s="473">
        <f t="shared" si="58"/>
        <v>0</v>
      </c>
      <c r="K432" s="473">
        <f t="shared" si="58"/>
        <v>0</v>
      </c>
      <c r="L432" s="473">
        <f t="shared" si="58"/>
        <v>0</v>
      </c>
      <c r="M432" s="473">
        <f t="shared" si="58"/>
        <v>0</v>
      </c>
      <c r="N432" s="473">
        <f t="shared" si="58"/>
        <v>0</v>
      </c>
      <c r="O432" s="473">
        <f t="shared" si="58"/>
        <v>0</v>
      </c>
      <c r="P432" s="473">
        <f t="shared" si="58"/>
        <v>0</v>
      </c>
      <c r="Q432" s="473">
        <f t="shared" si="58"/>
        <v>0</v>
      </c>
      <c r="R432" s="473">
        <f t="shared" si="58"/>
        <v>563.9</v>
      </c>
      <c r="S432" s="473">
        <f t="shared" si="58"/>
        <v>0</v>
      </c>
      <c r="T432" s="473">
        <f t="shared" si="58"/>
        <v>0</v>
      </c>
    </row>
    <row r="433" spans="1:20" ht="12.75">
      <c r="A433" s="423"/>
      <c r="B433" s="425" t="s">
        <v>1490</v>
      </c>
      <c r="C433" s="470">
        <f>('[4]Bieu 57'!D433)/1000000</f>
        <v>600</v>
      </c>
      <c r="D433" s="470">
        <f>('[4]Bieu 57'!I433)/1000000</f>
        <v>563.9</v>
      </c>
      <c r="E433" s="468"/>
      <c r="F433" s="468"/>
      <c r="G433" s="468"/>
      <c r="H433" s="468"/>
      <c r="I433" s="468"/>
      <c r="J433" s="468"/>
      <c r="K433" s="468"/>
      <c r="L433" s="468"/>
      <c r="M433" s="468"/>
      <c r="N433" s="468"/>
      <c r="O433" s="468"/>
      <c r="P433" s="468"/>
      <c r="Q433" s="468"/>
      <c r="R433" s="339">
        <f t="shared" si="52"/>
        <v>563.9</v>
      </c>
      <c r="S433" s="468"/>
      <c r="T433" s="468"/>
    </row>
    <row r="434" spans="1:20" s="444" customFormat="1" ht="25.5">
      <c r="A434" s="439">
        <v>9</v>
      </c>
      <c r="B434" s="440" t="s">
        <v>1510</v>
      </c>
      <c r="C434" s="470">
        <f>('[4]Bieu 57'!D434)/1000000</f>
        <v>50</v>
      </c>
      <c r="D434" s="470">
        <f>('[4]Bieu 57'!I434)/1000000</f>
        <v>30.2845</v>
      </c>
      <c r="E434" s="474"/>
      <c r="F434" s="474"/>
      <c r="G434" s="474"/>
      <c r="H434" s="474"/>
      <c r="I434" s="474"/>
      <c r="J434" s="474"/>
      <c r="K434" s="474"/>
      <c r="L434" s="474"/>
      <c r="M434" s="474"/>
      <c r="N434" s="474"/>
      <c r="O434" s="474"/>
      <c r="P434" s="474"/>
      <c r="Q434" s="474"/>
      <c r="R434" s="471">
        <f t="shared" si="52"/>
        <v>30.2845</v>
      </c>
      <c r="S434" s="474"/>
      <c r="T434" s="474"/>
    </row>
    <row r="435" spans="1:20" s="444" customFormat="1" ht="12.75">
      <c r="A435" s="439">
        <v>10</v>
      </c>
      <c r="B435" s="440" t="s">
        <v>1511</v>
      </c>
      <c r="C435" s="470">
        <f>('[4]Bieu 57'!D435)/1000000</f>
        <v>35</v>
      </c>
      <c r="D435" s="470">
        <f>('[4]Bieu 57'!I435)/1000000</f>
        <v>28.63</v>
      </c>
      <c r="E435" s="474"/>
      <c r="F435" s="474"/>
      <c r="G435" s="474"/>
      <c r="H435" s="474"/>
      <c r="I435" s="474"/>
      <c r="J435" s="474"/>
      <c r="K435" s="474"/>
      <c r="L435" s="474"/>
      <c r="M435" s="474"/>
      <c r="N435" s="474"/>
      <c r="O435" s="474"/>
      <c r="P435" s="474"/>
      <c r="Q435" s="474"/>
      <c r="R435" s="339">
        <f t="shared" si="52"/>
        <v>28.63</v>
      </c>
      <c r="S435" s="474"/>
      <c r="T435" s="474"/>
    </row>
    <row r="436" spans="1:20" s="444" customFormat="1" ht="25.5">
      <c r="A436" s="439">
        <v>11</v>
      </c>
      <c r="B436" s="440" t="s">
        <v>1512</v>
      </c>
      <c r="C436" s="470">
        <v>1799</v>
      </c>
      <c r="D436" s="475">
        <f>SUM(D437:D439)</f>
        <v>1176.1840000000002</v>
      </c>
      <c r="E436" s="475">
        <f aca="true" t="shared" si="59" ref="E436:S436">SUM(E437:E439)</f>
        <v>0</v>
      </c>
      <c r="F436" s="475">
        <f t="shared" si="59"/>
        <v>0</v>
      </c>
      <c r="G436" s="475">
        <f t="shared" si="59"/>
        <v>0</v>
      </c>
      <c r="H436" s="475">
        <f t="shared" si="59"/>
        <v>0</v>
      </c>
      <c r="I436" s="475">
        <f t="shared" si="59"/>
        <v>0</v>
      </c>
      <c r="J436" s="475">
        <f t="shared" si="59"/>
        <v>0</v>
      </c>
      <c r="K436" s="475">
        <f t="shared" si="59"/>
        <v>0</v>
      </c>
      <c r="L436" s="475">
        <f t="shared" si="59"/>
        <v>0</v>
      </c>
      <c r="M436" s="475">
        <f t="shared" si="59"/>
        <v>0</v>
      </c>
      <c r="N436" s="475">
        <f t="shared" si="59"/>
        <v>0</v>
      </c>
      <c r="O436" s="475">
        <f t="shared" si="59"/>
        <v>0</v>
      </c>
      <c r="P436" s="475">
        <f t="shared" si="59"/>
        <v>0</v>
      </c>
      <c r="Q436" s="475">
        <f t="shared" si="59"/>
        <v>0</v>
      </c>
      <c r="R436" s="475">
        <f t="shared" si="59"/>
        <v>1176.1840000000002</v>
      </c>
      <c r="S436" s="475">
        <f t="shared" si="59"/>
        <v>0</v>
      </c>
      <c r="T436" s="474"/>
    </row>
    <row r="437" spans="1:20" ht="12.75">
      <c r="A437" s="461"/>
      <c r="B437" s="462" t="s">
        <v>1488</v>
      </c>
      <c r="C437" s="472"/>
      <c r="D437" s="470">
        <f>('[4]Bieu 57'!I437)/1000000</f>
        <v>316.7</v>
      </c>
      <c r="E437" s="468"/>
      <c r="F437" s="468"/>
      <c r="G437" s="468"/>
      <c r="H437" s="468"/>
      <c r="I437" s="468"/>
      <c r="J437" s="468"/>
      <c r="K437" s="468"/>
      <c r="L437" s="468"/>
      <c r="M437" s="468"/>
      <c r="N437" s="468"/>
      <c r="O437" s="468"/>
      <c r="P437" s="468"/>
      <c r="Q437" s="468"/>
      <c r="R437" s="339">
        <f t="shared" si="52"/>
        <v>316.7</v>
      </c>
      <c r="S437" s="468"/>
      <c r="T437" s="468"/>
    </row>
    <row r="438" spans="1:20" ht="12.75">
      <c r="A438" s="461"/>
      <c r="B438" s="462" t="s">
        <v>1485</v>
      </c>
      <c r="C438" s="472"/>
      <c r="D438" s="470">
        <f>('[4]Bieu 57'!I438)/1000000</f>
        <v>270</v>
      </c>
      <c r="E438" s="468"/>
      <c r="F438" s="468"/>
      <c r="G438" s="468"/>
      <c r="H438" s="468"/>
      <c r="I438" s="468"/>
      <c r="J438" s="468"/>
      <c r="K438" s="468"/>
      <c r="L438" s="468"/>
      <c r="M438" s="468"/>
      <c r="N438" s="468"/>
      <c r="O438" s="468"/>
      <c r="P438" s="468"/>
      <c r="Q438" s="468"/>
      <c r="R438" s="339">
        <f t="shared" si="52"/>
        <v>270</v>
      </c>
      <c r="S438" s="468"/>
      <c r="T438" s="468"/>
    </row>
    <row r="439" spans="1:20" ht="12.75">
      <c r="A439" s="461"/>
      <c r="B439" s="462" t="s">
        <v>1489</v>
      </c>
      <c r="C439" s="472"/>
      <c r="D439" s="470">
        <f>('[4]Bieu 57'!I439)/1000000</f>
        <v>589.484</v>
      </c>
      <c r="E439" s="468"/>
      <c r="F439" s="468"/>
      <c r="G439" s="468"/>
      <c r="H439" s="468"/>
      <c r="I439" s="468"/>
      <c r="J439" s="468"/>
      <c r="K439" s="468"/>
      <c r="L439" s="468"/>
      <c r="M439" s="468"/>
      <c r="N439" s="468"/>
      <c r="O439" s="468"/>
      <c r="P439" s="468"/>
      <c r="Q439" s="468"/>
      <c r="R439" s="339">
        <f t="shared" si="52"/>
        <v>589.484</v>
      </c>
      <c r="S439" s="468"/>
      <c r="T439" s="468"/>
    </row>
    <row r="440" spans="1:20" s="444" customFormat="1" ht="12.75">
      <c r="A440" s="439" t="s">
        <v>1513</v>
      </c>
      <c r="B440" s="440" t="s">
        <v>1514</v>
      </c>
      <c r="C440" s="473">
        <f>C441</f>
        <v>2468.47439</v>
      </c>
      <c r="D440" s="473">
        <f aca="true" t="shared" si="60" ref="D440:T440">D441</f>
        <v>1937.441358</v>
      </c>
      <c r="E440" s="473">
        <f t="shared" si="60"/>
        <v>0</v>
      </c>
      <c r="F440" s="473">
        <f t="shared" si="60"/>
        <v>0</v>
      </c>
      <c r="G440" s="473">
        <f t="shared" si="60"/>
        <v>0</v>
      </c>
      <c r="H440" s="473">
        <f t="shared" si="60"/>
        <v>0</v>
      </c>
      <c r="I440" s="473">
        <f t="shared" si="60"/>
        <v>0</v>
      </c>
      <c r="J440" s="473">
        <f t="shared" si="60"/>
        <v>0</v>
      </c>
      <c r="K440" s="473">
        <f t="shared" si="60"/>
        <v>0</v>
      </c>
      <c r="L440" s="473">
        <f t="shared" si="60"/>
        <v>0</v>
      </c>
      <c r="M440" s="473">
        <f t="shared" si="60"/>
        <v>0</v>
      </c>
      <c r="N440" s="473">
        <f t="shared" si="60"/>
        <v>0</v>
      </c>
      <c r="O440" s="473">
        <f t="shared" si="60"/>
        <v>0</v>
      </c>
      <c r="P440" s="473">
        <f t="shared" si="60"/>
        <v>0</v>
      </c>
      <c r="Q440" s="473">
        <f t="shared" si="60"/>
        <v>0</v>
      </c>
      <c r="R440" s="473">
        <f t="shared" si="60"/>
        <v>1937.441358</v>
      </c>
      <c r="S440" s="473">
        <f t="shared" si="60"/>
        <v>0</v>
      </c>
      <c r="T440" s="473">
        <f t="shared" si="60"/>
        <v>0</v>
      </c>
    </row>
    <row r="441" spans="1:20" ht="12.75">
      <c r="A441" s="463"/>
      <c r="B441" s="464" t="s">
        <v>1515</v>
      </c>
      <c r="C441" s="470">
        <f>('[4]Bieu 57'!D441)/1000000</f>
        <v>2468.47439</v>
      </c>
      <c r="D441" s="470">
        <f>('[4]Bieu 57'!I441)/1000000</f>
        <v>1937.441358</v>
      </c>
      <c r="E441" s="468"/>
      <c r="F441" s="468"/>
      <c r="G441" s="468"/>
      <c r="H441" s="468"/>
      <c r="I441" s="468"/>
      <c r="J441" s="468"/>
      <c r="K441" s="468"/>
      <c r="L441" s="468"/>
      <c r="M441" s="468"/>
      <c r="N441" s="468"/>
      <c r="O441" s="468"/>
      <c r="P441" s="468"/>
      <c r="Q441" s="468"/>
      <c r="R441" s="339">
        <f t="shared" si="52"/>
        <v>1937.441358</v>
      </c>
      <c r="S441" s="468"/>
      <c r="T441" s="468"/>
    </row>
    <row r="442" spans="1:20" s="422" customFormat="1" ht="12.75">
      <c r="A442" s="465" t="s">
        <v>1516</v>
      </c>
      <c r="B442" s="466" t="s">
        <v>1517</v>
      </c>
      <c r="C442" s="469">
        <f>SUM(C443:C444)</f>
        <v>86</v>
      </c>
      <c r="D442" s="469">
        <f aca="true" t="shared" si="61" ref="D442:T442">SUM(D443:D444)</f>
        <v>86</v>
      </c>
      <c r="E442" s="469">
        <f t="shared" si="61"/>
        <v>0</v>
      </c>
      <c r="F442" s="469">
        <f t="shared" si="61"/>
        <v>0</v>
      </c>
      <c r="G442" s="469">
        <f t="shared" si="61"/>
        <v>0</v>
      </c>
      <c r="H442" s="469">
        <f t="shared" si="61"/>
        <v>0</v>
      </c>
      <c r="I442" s="469">
        <f t="shared" si="61"/>
        <v>0</v>
      </c>
      <c r="J442" s="469">
        <f t="shared" si="61"/>
        <v>0</v>
      </c>
      <c r="K442" s="469">
        <f t="shared" si="61"/>
        <v>0</v>
      </c>
      <c r="L442" s="469">
        <f t="shared" si="61"/>
        <v>0</v>
      </c>
      <c r="M442" s="469">
        <f t="shared" si="61"/>
        <v>0</v>
      </c>
      <c r="N442" s="469">
        <f t="shared" si="61"/>
        <v>0</v>
      </c>
      <c r="O442" s="469">
        <f t="shared" si="61"/>
        <v>0</v>
      </c>
      <c r="P442" s="469">
        <f t="shared" si="61"/>
        <v>0</v>
      </c>
      <c r="Q442" s="469">
        <f t="shared" si="61"/>
        <v>0</v>
      </c>
      <c r="R442" s="469">
        <f t="shared" si="61"/>
        <v>86</v>
      </c>
      <c r="S442" s="469">
        <f t="shared" si="61"/>
        <v>0</v>
      </c>
      <c r="T442" s="469">
        <f t="shared" si="61"/>
        <v>0</v>
      </c>
    </row>
    <row r="443" spans="1:20" ht="25.5">
      <c r="A443" s="463"/>
      <c r="B443" s="467" t="s">
        <v>1518</v>
      </c>
      <c r="C443" s="470">
        <f>('[4]Bieu 57'!D443)/1000000</f>
        <v>70</v>
      </c>
      <c r="D443" s="470">
        <f>('[4]Bieu 57'!I443)/1000000</f>
        <v>70</v>
      </c>
      <c r="E443" s="468"/>
      <c r="F443" s="468"/>
      <c r="G443" s="468"/>
      <c r="H443" s="468"/>
      <c r="I443" s="468"/>
      <c r="J443" s="468"/>
      <c r="K443" s="468"/>
      <c r="L443" s="468"/>
      <c r="M443" s="468"/>
      <c r="N443" s="468"/>
      <c r="O443" s="468"/>
      <c r="P443" s="468"/>
      <c r="Q443" s="468"/>
      <c r="R443" s="339">
        <f t="shared" si="52"/>
        <v>70</v>
      </c>
      <c r="S443" s="468"/>
      <c r="T443" s="468"/>
    </row>
    <row r="444" spans="1:20" ht="12.75">
      <c r="A444" s="463"/>
      <c r="B444" s="464" t="s">
        <v>1519</v>
      </c>
      <c r="C444" s="470">
        <f>('[4]Bieu 57'!D444)/1000000</f>
        <v>16</v>
      </c>
      <c r="D444" s="470">
        <f>('[4]Bieu 57'!I444)/1000000</f>
        <v>16</v>
      </c>
      <c r="E444" s="468"/>
      <c r="F444" s="468"/>
      <c r="G444" s="468"/>
      <c r="H444" s="468"/>
      <c r="I444" s="468"/>
      <c r="J444" s="468"/>
      <c r="K444" s="468"/>
      <c r="L444" s="468"/>
      <c r="M444" s="468"/>
      <c r="N444" s="468"/>
      <c r="O444" s="468"/>
      <c r="P444" s="468"/>
      <c r="Q444" s="468"/>
      <c r="R444" s="339">
        <f t="shared" si="52"/>
        <v>16</v>
      </c>
      <c r="S444" s="468"/>
      <c r="T444" s="468"/>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74</v>
      </c>
    </row>
    <row r="2" spans="1:39" ht="14.25">
      <c r="A2" s="532" t="s">
        <v>116</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row>
    <row r="3" spans="1:39" ht="14.25">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row>
    <row r="4" spans="3:37" ht="14.25">
      <c r="C4" s="1">
        <f>C10-I10</f>
        <v>2920134</v>
      </c>
      <c r="Y4" s="12">
        <f>Y10+AA10+AD10+AF10+P10</f>
        <v>222738</v>
      </c>
      <c r="Z4" s="12">
        <f>Y4-V10</f>
        <v>0</v>
      </c>
      <c r="AK4" s="3" t="s">
        <v>1</v>
      </c>
    </row>
    <row r="5" spans="1:39" ht="14.25">
      <c r="A5" s="533" t="s">
        <v>2</v>
      </c>
      <c r="B5" s="534" t="s">
        <v>75</v>
      </c>
      <c r="C5" s="533" t="s">
        <v>76</v>
      </c>
      <c r="D5" s="533"/>
      <c r="E5" s="533"/>
      <c r="F5" s="533"/>
      <c r="G5" s="533"/>
      <c r="H5" s="533"/>
      <c r="I5" s="533"/>
      <c r="J5" s="241"/>
      <c r="K5" s="533" t="s">
        <v>4</v>
      </c>
      <c r="L5" s="533"/>
      <c r="M5" s="533"/>
      <c r="N5" s="533"/>
      <c r="O5" s="533"/>
      <c r="P5" s="533"/>
      <c r="Q5" s="533"/>
      <c r="R5" s="533"/>
      <c r="S5" s="533"/>
      <c r="T5" s="533"/>
      <c r="U5" s="533"/>
      <c r="V5" s="533"/>
      <c r="W5" s="533"/>
      <c r="X5" s="533"/>
      <c r="Y5" s="533"/>
      <c r="Z5" s="533"/>
      <c r="AA5" s="533"/>
      <c r="AB5" s="533"/>
      <c r="AC5" s="533"/>
      <c r="AD5" s="533"/>
      <c r="AE5" s="533"/>
      <c r="AF5" s="533"/>
      <c r="AG5" s="533"/>
      <c r="AH5" s="533"/>
      <c r="AI5" s="241"/>
      <c r="AJ5" s="241"/>
      <c r="AK5" s="533" t="s">
        <v>28</v>
      </c>
      <c r="AL5" s="533"/>
      <c r="AM5" s="533"/>
    </row>
    <row r="6" spans="1:39" ht="14.25">
      <c r="A6" s="533"/>
      <c r="B6" s="535"/>
      <c r="C6" s="533" t="s">
        <v>61</v>
      </c>
      <c r="D6" s="533" t="s">
        <v>15</v>
      </c>
      <c r="E6" s="533" t="s">
        <v>16</v>
      </c>
      <c r="F6" s="241"/>
      <c r="G6" s="241"/>
      <c r="H6" s="533" t="s">
        <v>132</v>
      </c>
      <c r="I6" s="533" t="s">
        <v>29</v>
      </c>
      <c r="J6" s="241"/>
      <c r="K6" s="533" t="s">
        <v>61</v>
      </c>
      <c r="L6" s="533" t="s">
        <v>15</v>
      </c>
      <c r="M6" s="533"/>
      <c r="N6" s="533"/>
      <c r="O6" s="241"/>
      <c r="P6" s="241"/>
      <c r="Q6" s="241"/>
      <c r="R6" s="533" t="s">
        <v>16</v>
      </c>
      <c r="S6" s="533"/>
      <c r="T6" s="533"/>
      <c r="U6" s="241"/>
      <c r="V6" s="241"/>
      <c r="W6" s="533" t="s">
        <v>77</v>
      </c>
      <c r="X6" s="533"/>
      <c r="Y6" s="533"/>
      <c r="Z6" s="533"/>
      <c r="AA6" s="533"/>
      <c r="AB6" s="533"/>
      <c r="AC6" s="533"/>
      <c r="AD6" s="241"/>
      <c r="AE6" s="241"/>
      <c r="AF6" s="241"/>
      <c r="AG6" s="241"/>
      <c r="AH6" s="533" t="s">
        <v>23</v>
      </c>
      <c r="AI6" s="533" t="s">
        <v>1029</v>
      </c>
      <c r="AJ6" s="533"/>
      <c r="AK6" s="533" t="s">
        <v>61</v>
      </c>
      <c r="AL6" s="533" t="s">
        <v>15</v>
      </c>
      <c r="AM6" s="533" t="s">
        <v>16</v>
      </c>
    </row>
    <row r="7" spans="1:39" ht="14.25">
      <c r="A7" s="533"/>
      <c r="B7" s="535"/>
      <c r="C7" s="533"/>
      <c r="D7" s="533"/>
      <c r="E7" s="533"/>
      <c r="F7" s="241"/>
      <c r="G7" s="241"/>
      <c r="H7" s="533"/>
      <c r="I7" s="533"/>
      <c r="J7" s="241"/>
      <c r="K7" s="533"/>
      <c r="L7" s="533" t="s">
        <v>61</v>
      </c>
      <c r="M7" s="533" t="s">
        <v>66</v>
      </c>
      <c r="N7" s="533"/>
      <c r="O7" s="533" t="s">
        <v>66</v>
      </c>
      <c r="P7" s="533"/>
      <c r="Q7" s="533"/>
      <c r="R7" s="533" t="s">
        <v>61</v>
      </c>
      <c r="S7" s="533" t="s">
        <v>66</v>
      </c>
      <c r="T7" s="533"/>
      <c r="U7" s="241"/>
      <c r="V7" s="241"/>
      <c r="W7" s="533" t="s">
        <v>61</v>
      </c>
      <c r="X7" s="533" t="s">
        <v>66</v>
      </c>
      <c r="Y7" s="533"/>
      <c r="Z7" s="533"/>
      <c r="AA7" s="533"/>
      <c r="AB7" s="533"/>
      <c r="AC7" s="533"/>
      <c r="AD7" s="241"/>
      <c r="AE7" s="241"/>
      <c r="AF7" s="241"/>
      <c r="AG7" s="241"/>
      <c r="AH7" s="533"/>
      <c r="AI7" s="533"/>
      <c r="AJ7" s="533"/>
      <c r="AK7" s="533"/>
      <c r="AL7" s="533"/>
      <c r="AM7" s="533"/>
    </row>
    <row r="8" spans="1:39" ht="51.75" customHeight="1">
      <c r="A8" s="533"/>
      <c r="B8" s="536"/>
      <c r="C8" s="533"/>
      <c r="D8" s="533"/>
      <c r="E8" s="533"/>
      <c r="F8" s="241"/>
      <c r="G8" s="241"/>
      <c r="H8" s="533"/>
      <c r="I8" s="533"/>
      <c r="J8" s="241"/>
      <c r="K8" s="533"/>
      <c r="L8" s="533"/>
      <c r="M8" s="241" t="s">
        <v>78</v>
      </c>
      <c r="N8" s="241" t="s">
        <v>36</v>
      </c>
      <c r="O8" s="241" t="s">
        <v>1032</v>
      </c>
      <c r="P8" s="241" t="s">
        <v>1059</v>
      </c>
      <c r="Q8" s="241" t="s">
        <v>1033</v>
      </c>
      <c r="R8" s="533"/>
      <c r="S8" s="241" t="s">
        <v>78</v>
      </c>
      <c r="T8" s="241" t="s">
        <v>79</v>
      </c>
      <c r="U8" s="241" t="s">
        <v>1062</v>
      </c>
      <c r="V8" s="241" t="s">
        <v>1061</v>
      </c>
      <c r="W8" s="533"/>
      <c r="X8" s="241" t="s">
        <v>15</v>
      </c>
      <c r="Y8" s="241" t="s">
        <v>1060</v>
      </c>
      <c r="Z8" s="241" t="s">
        <v>1027</v>
      </c>
      <c r="AA8" s="241" t="s">
        <v>1060</v>
      </c>
      <c r="AB8" s="241" t="s">
        <v>1026</v>
      </c>
      <c r="AC8" s="241" t="s">
        <v>16</v>
      </c>
      <c r="AD8" s="241"/>
      <c r="AE8" s="241" t="s">
        <v>1027</v>
      </c>
      <c r="AF8" s="241"/>
      <c r="AG8" s="241" t="s">
        <v>1026</v>
      </c>
      <c r="AH8" s="533"/>
      <c r="AI8" s="533"/>
      <c r="AJ8" s="533"/>
      <c r="AK8" s="533"/>
      <c r="AL8" s="533"/>
      <c r="AM8" s="533"/>
    </row>
    <row r="9" spans="1:39" s="230" customFormat="1" ht="12.75">
      <c r="A9" s="13" t="s">
        <v>5</v>
      </c>
      <c r="B9" s="13" t="s">
        <v>6</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80</v>
      </c>
      <c r="AL9" s="13" t="s">
        <v>81</v>
      </c>
      <c r="AM9" s="13">
        <v>17</v>
      </c>
    </row>
    <row r="10" spans="1:39" s="254" customFormat="1" ht="14.25">
      <c r="A10" s="250"/>
      <c r="B10" s="251" t="s">
        <v>62</v>
      </c>
      <c r="C10" s="252">
        <f>C11+C12+C13+C14+C15+C16+C17+C18+C19+C20</f>
        <v>2947224</v>
      </c>
      <c r="D10" s="252">
        <f aca="true" t="shared" si="0" ref="D10:AI10">D11+D12+D13+D14+D15+D16+D17+D18+D19+D20</f>
        <v>218278</v>
      </c>
      <c r="E10" s="252">
        <f>E11+E12+E13+E14+E15+E16+E17+E18+E19+E20</f>
        <v>2670001</v>
      </c>
      <c r="F10" s="252">
        <f>F11+F12+F13+F14+F15+F16+F17+F18+F19+F20</f>
        <v>2101873</v>
      </c>
      <c r="G10" s="252">
        <f>G11+G12+G13+G14+G15+G16+G17+G18+G19+G20</f>
        <v>568128</v>
      </c>
      <c r="H10" s="252">
        <f>H11+H12+H13+H14+H15+H16+H17+H18+H19+H20</f>
        <v>58945</v>
      </c>
      <c r="I10" s="252">
        <f t="shared" si="0"/>
        <v>27090</v>
      </c>
      <c r="J10" s="252" t="e">
        <f>'Bieu 60'!C8-#REF!</f>
        <v>#REF!</v>
      </c>
      <c r="K10" s="252">
        <f>L10+R10+W10+AH10+AI10</f>
        <v>3931873.78</v>
      </c>
      <c r="L10" s="252">
        <f t="shared" si="0"/>
        <v>429644.401742</v>
      </c>
      <c r="M10" s="252">
        <f t="shared" si="0"/>
        <v>55090.17</v>
      </c>
      <c r="N10" s="252">
        <f t="shared" si="0"/>
        <v>0</v>
      </c>
      <c r="O10" s="252">
        <f t="shared" si="0"/>
        <v>467</v>
      </c>
      <c r="P10" s="252">
        <f t="shared" si="0"/>
        <v>16300</v>
      </c>
      <c r="Q10" s="252">
        <f t="shared" si="0"/>
        <v>16814.511</v>
      </c>
      <c r="R10" s="252">
        <f t="shared" si="0"/>
        <v>2967184.1588129997</v>
      </c>
      <c r="S10" s="252">
        <f t="shared" si="0"/>
        <v>1545763.44</v>
      </c>
      <c r="T10" s="252">
        <f t="shared" si="0"/>
        <v>159</v>
      </c>
      <c r="U10" s="252">
        <f t="shared" si="0"/>
        <v>43753.92055499999</v>
      </c>
      <c r="V10" s="252">
        <f t="shared" si="0"/>
        <v>222738</v>
      </c>
      <c r="W10" s="252">
        <f t="shared" si="0"/>
        <v>178984.079445</v>
      </c>
      <c r="X10" s="252">
        <f t="shared" si="0"/>
        <v>130935.75825799999</v>
      </c>
      <c r="Y10" s="252">
        <f t="shared" si="0"/>
        <v>73377</v>
      </c>
      <c r="Z10" s="252">
        <f t="shared" si="0"/>
        <v>57436.862</v>
      </c>
      <c r="AA10" s="252">
        <f t="shared" si="0"/>
        <v>79980</v>
      </c>
      <c r="AB10" s="252">
        <f t="shared" si="0"/>
        <v>73498.896258</v>
      </c>
      <c r="AC10" s="252">
        <f t="shared" si="0"/>
        <v>48048.32118700001</v>
      </c>
      <c r="AD10" s="252">
        <f t="shared" si="0"/>
        <v>30442</v>
      </c>
      <c r="AE10" s="252">
        <f t="shared" si="0"/>
        <v>30823.88762</v>
      </c>
      <c r="AF10" s="252">
        <f t="shared" si="0"/>
        <v>22639</v>
      </c>
      <c r="AG10" s="252">
        <f t="shared" si="0"/>
        <v>17224.433567</v>
      </c>
      <c r="AH10" s="252">
        <f t="shared" si="0"/>
        <v>337564.31000000006</v>
      </c>
      <c r="AI10" s="252">
        <f t="shared" si="0"/>
        <v>18496.83</v>
      </c>
      <c r="AJ10" s="252"/>
      <c r="AK10" s="253">
        <f aca="true" t="shared" si="1" ref="AK10:AK20">K10/C10</f>
        <v>1.3340939745333236</v>
      </c>
      <c r="AL10" s="253">
        <f aca="true" t="shared" si="2" ref="AL10:AL20">L10/D10</f>
        <v>1.9683357999523543</v>
      </c>
      <c r="AM10" s="253">
        <f>R10/E10</f>
        <v>1.1113045121754634</v>
      </c>
    </row>
    <row r="11" spans="1:39" ht="14.25">
      <c r="A11" s="8">
        <v>1</v>
      </c>
      <c r="B11" s="9" t="s">
        <v>122</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123</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124</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125</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126</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9" customFormat="1" ht="14.25">
      <c r="A16" s="245">
        <v>6</v>
      </c>
      <c r="B16" s="246" t="s">
        <v>127</v>
      </c>
      <c r="C16" s="247">
        <f t="shared" si="4"/>
        <v>382482</v>
      </c>
      <c r="D16" s="247">
        <v>19422</v>
      </c>
      <c r="E16" s="247">
        <f t="shared" si="5"/>
        <v>355411</v>
      </c>
      <c r="F16" s="247">
        <v>280575</v>
      </c>
      <c r="G16" s="247">
        <v>74836</v>
      </c>
      <c r="H16" s="247">
        <f>1527+6122</f>
        <v>7649</v>
      </c>
      <c r="I16" s="247">
        <v>2036</v>
      </c>
      <c r="J16" s="247" t="e">
        <f>'Bieu 60'!C14-#REF!</f>
        <v>#REF!</v>
      </c>
      <c r="K16" s="247">
        <f t="shared" si="6"/>
        <v>469871.4</v>
      </c>
      <c r="L16" s="247">
        <f>28014+10873.4-X16</f>
        <v>25267.026</v>
      </c>
      <c r="M16" s="247">
        <f>1293+297</f>
        <v>1590</v>
      </c>
      <c r="N16" s="247"/>
      <c r="O16" s="247"/>
      <c r="P16" s="247">
        <f>'BS huyen'!I12</f>
        <v>3136</v>
      </c>
      <c r="Q16" s="247">
        <f>'CTMT huyen'!I19</f>
        <v>2129.31</v>
      </c>
      <c r="R16" s="247">
        <f>310733+86153-AC16</f>
        <v>391896.3005</v>
      </c>
      <c r="S16" s="247">
        <f>215926+553</f>
        <v>216479</v>
      </c>
      <c r="T16" s="247"/>
      <c r="U16" s="11">
        <f t="shared" si="7"/>
        <v>2564.6165000000037</v>
      </c>
      <c r="V16" s="247">
        <f>'BS huyen'!I10</f>
        <v>21174.690000000002</v>
      </c>
      <c r="W16" s="247">
        <f t="shared" si="8"/>
        <v>18610.0735</v>
      </c>
      <c r="X16" s="247">
        <f t="shared" si="9"/>
        <v>13620.374</v>
      </c>
      <c r="Y16" s="247">
        <v>4300</v>
      </c>
      <c r="Z16" s="247">
        <f>'CTMT huyen'!I15</f>
        <v>3876.303</v>
      </c>
      <c r="AA16" s="247">
        <v>8460</v>
      </c>
      <c r="AB16" s="247">
        <f>'CTMT huyen'!I18</f>
        <v>9744.071</v>
      </c>
      <c r="AC16" s="247">
        <f t="shared" si="10"/>
        <v>4989.699500000001</v>
      </c>
      <c r="AD16" s="247">
        <f>'BS huyen'!I17</f>
        <v>3235.6900000000005</v>
      </c>
      <c r="AE16" s="247">
        <f>'CTMT huyen'!I16</f>
        <v>2701</v>
      </c>
      <c r="AF16" s="247">
        <f>'BS huyen'!I14</f>
        <v>2043</v>
      </c>
      <c r="AG16" s="247">
        <f>'CTMT huyen'!I20</f>
        <v>2288.6995</v>
      </c>
      <c r="AH16" s="247">
        <v>32064</v>
      </c>
      <c r="AI16" s="247">
        <f>1736+298</f>
        <v>2034</v>
      </c>
      <c r="AJ16" s="247"/>
      <c r="AK16" s="248">
        <f t="shared" si="1"/>
        <v>1.2284797715970948</v>
      </c>
      <c r="AL16" s="248">
        <f t="shared" si="2"/>
        <v>1.300948717948718</v>
      </c>
      <c r="AM16" s="248">
        <f t="shared" si="3"/>
        <v>1.1026566439980754</v>
      </c>
    </row>
    <row r="17" spans="1:39" ht="14.25">
      <c r="A17" s="8">
        <v>7</v>
      </c>
      <c r="B17" s="9" t="s">
        <v>130</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40" customFormat="1" ht="14.25">
      <c r="A18" s="236">
        <v>8</v>
      </c>
      <c r="B18" s="237" t="s">
        <v>128</v>
      </c>
      <c r="C18" s="238">
        <f t="shared" si="4"/>
        <v>295287</v>
      </c>
      <c r="D18" s="238">
        <v>14028</v>
      </c>
      <c r="E18" s="238">
        <f t="shared" si="5"/>
        <v>275353</v>
      </c>
      <c r="F18" s="238">
        <v>214452</v>
      </c>
      <c r="G18" s="238">
        <v>60901</v>
      </c>
      <c r="H18" s="238">
        <f>1243+4663</f>
        <v>5906</v>
      </c>
      <c r="I18" s="238">
        <v>1892</v>
      </c>
      <c r="J18" s="238" t="e">
        <f>'Bieu 60'!C16-#REF!</f>
        <v>#REF!</v>
      </c>
      <c r="K18" s="238">
        <f t="shared" si="6"/>
        <v>419745.4</v>
      </c>
      <c r="L18" s="238">
        <f>59251.4-X18</f>
        <v>20620.0784</v>
      </c>
      <c r="M18" s="238">
        <v>5115</v>
      </c>
      <c r="N18" s="238"/>
      <c r="O18" s="238">
        <v>467</v>
      </c>
      <c r="P18" s="238"/>
      <c r="Q18" s="238">
        <f>'CTMT huyen'!L19</f>
        <v>0</v>
      </c>
      <c r="R18" s="238">
        <f>251837+65490-AC18</f>
        <v>301293.91537</v>
      </c>
      <c r="S18" s="238">
        <f>177307+421</f>
        <v>177728</v>
      </c>
      <c r="T18" s="238"/>
      <c r="U18" s="11">
        <f t="shared" si="7"/>
        <v>9678.559769999993</v>
      </c>
      <c r="V18" s="238">
        <f>'BS huyen'!N10</f>
        <v>64342.966</v>
      </c>
      <c r="W18" s="238">
        <f t="shared" si="8"/>
        <v>54664.40623000001</v>
      </c>
      <c r="X18" s="238">
        <f t="shared" si="9"/>
        <v>38631.3216</v>
      </c>
      <c r="Y18" s="238">
        <v>35465</v>
      </c>
      <c r="Z18" s="238">
        <f>'CTMT huyen'!L15</f>
        <v>31177.899</v>
      </c>
      <c r="AA18" s="238">
        <v>14664</v>
      </c>
      <c r="AB18" s="238">
        <f>'CTMT huyen'!L18</f>
        <v>7453.4226</v>
      </c>
      <c r="AC18" s="238">
        <f t="shared" si="10"/>
        <v>16033.084630000001</v>
      </c>
      <c r="AD18" s="238">
        <f>'BS huyen'!N17</f>
        <v>12272.966</v>
      </c>
      <c r="AE18" s="238">
        <f>'CTMT huyen'!L16</f>
        <v>14200.52663</v>
      </c>
      <c r="AF18" s="238">
        <f>'BS huyen'!N14</f>
        <v>1941</v>
      </c>
      <c r="AG18" s="238">
        <f>'CTMT huyen'!L20</f>
        <v>1832.558</v>
      </c>
      <c r="AH18" s="238">
        <v>39899</v>
      </c>
      <c r="AI18" s="238">
        <v>3268</v>
      </c>
      <c r="AJ18" s="238"/>
      <c r="AK18" s="239">
        <f t="shared" si="1"/>
        <v>1.4214828285701708</v>
      </c>
      <c r="AL18" s="239">
        <f t="shared" si="2"/>
        <v>1.4699228970630167</v>
      </c>
      <c r="AM18" s="239">
        <f t="shared" si="3"/>
        <v>1.0942096703867399</v>
      </c>
    </row>
    <row r="19" spans="1:39" ht="14.25">
      <c r="A19" s="8">
        <v>9</v>
      </c>
      <c r="B19" s="9" t="s">
        <v>129</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131</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85</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82</v>
      </c>
      <c r="K22" s="12">
        <f>K21-K10</f>
        <v>0.22000000020489097</v>
      </c>
      <c r="N22" s="12">
        <f>N21-M21</f>
        <v>3299.1600000000326</v>
      </c>
    </row>
    <row r="23" spans="1:12" ht="14.25">
      <c r="A23" s="7" t="s">
        <v>83</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8" customWidth="1"/>
    <col min="2" max="2" width="11.00390625" style="218" customWidth="1"/>
    <col min="3" max="3" width="13.28125" style="218" customWidth="1"/>
    <col min="4" max="4" width="9.421875" style="218" customWidth="1"/>
    <col min="5" max="5" width="10.7109375" style="218" customWidth="1"/>
    <col min="6" max="7" width="10.28125" style="218" bestFit="1" customWidth="1"/>
    <col min="8" max="8" width="9.00390625" style="218" customWidth="1"/>
    <col min="9" max="10" width="10.28125" style="218" bestFit="1" customWidth="1"/>
    <col min="11" max="11" width="9.421875" style="218" bestFit="1" customWidth="1"/>
    <col min="12" max="12" width="10.28125" style="218" bestFit="1" customWidth="1"/>
    <col min="13" max="16384" width="9.00390625" style="218" customWidth="1"/>
  </cols>
  <sheetData>
    <row r="1" spans="1:2" ht="12.75">
      <c r="A1" s="218" t="s">
        <v>1034</v>
      </c>
      <c r="B1" s="218">
        <v>1000000</v>
      </c>
    </row>
    <row r="2" spans="2:13" ht="12.75">
      <c r="B2" s="218" t="s">
        <v>1035</v>
      </c>
      <c r="C2" s="218" t="s">
        <v>1036</v>
      </c>
      <c r="D2" s="218" t="s">
        <v>1037</v>
      </c>
      <c r="E2" s="218" t="s">
        <v>1038</v>
      </c>
      <c r="F2" s="218" t="s">
        <v>1039</v>
      </c>
      <c r="G2" s="218" t="s">
        <v>1040</v>
      </c>
      <c r="H2" s="218" t="s">
        <v>1041</v>
      </c>
      <c r="I2" s="218" t="s">
        <v>1042</v>
      </c>
      <c r="J2" s="218" t="s">
        <v>1043</v>
      </c>
      <c r="K2" s="218" t="s">
        <v>1044</v>
      </c>
      <c r="L2" s="218" t="s">
        <v>1045</v>
      </c>
      <c r="M2" s="218" t="s">
        <v>1046</v>
      </c>
    </row>
    <row r="3" spans="1:12" ht="12.75">
      <c r="A3" s="218" t="s">
        <v>1047</v>
      </c>
      <c r="D3" s="218">
        <v>1561</v>
      </c>
      <c r="E3" s="218">
        <v>1562</v>
      </c>
      <c r="F3" s="218">
        <v>1563</v>
      </c>
      <c r="G3" s="218">
        <v>1564</v>
      </c>
      <c r="H3" s="218">
        <v>1565</v>
      </c>
      <c r="I3" s="218">
        <v>1566</v>
      </c>
      <c r="J3" s="218">
        <v>1567</v>
      </c>
      <c r="K3" s="218">
        <v>1568</v>
      </c>
      <c r="L3" s="218">
        <v>1569</v>
      </c>
    </row>
    <row r="4" spans="1:13" ht="12.75">
      <c r="A4" s="218" t="s">
        <v>1048</v>
      </c>
      <c r="B4" s="218">
        <v>57436862000</v>
      </c>
      <c r="C4" s="219">
        <f aca="true" t="shared" si="0" ref="C4:C9">SUM(D4:M4)</f>
        <v>57436862000</v>
      </c>
      <c r="D4" s="219"/>
      <c r="E4" s="219">
        <v>9999421000</v>
      </c>
      <c r="F4" s="219">
        <v>4963003000</v>
      </c>
      <c r="G4" s="219">
        <v>6079731000</v>
      </c>
      <c r="H4" s="219">
        <v>0</v>
      </c>
      <c r="I4" s="219">
        <v>3876303000</v>
      </c>
      <c r="J4" s="219">
        <v>1298706000</v>
      </c>
      <c r="K4" s="219">
        <v>0</v>
      </c>
      <c r="L4" s="219">
        <v>31177899000</v>
      </c>
      <c r="M4" s="219">
        <v>41799000</v>
      </c>
    </row>
    <row r="5" spans="1:12" ht="12.75">
      <c r="A5" s="218" t="s">
        <v>1049</v>
      </c>
      <c r="B5" s="218">
        <v>30823887620</v>
      </c>
      <c r="C5" s="219">
        <f t="shared" si="0"/>
        <v>30823887620</v>
      </c>
      <c r="D5" s="218">
        <v>15000000</v>
      </c>
      <c r="E5" s="218">
        <v>6655134490</v>
      </c>
      <c r="F5" s="218">
        <v>2582988500</v>
      </c>
      <c r="G5" s="218">
        <v>3293789000</v>
      </c>
      <c r="H5" s="218">
        <v>96000000</v>
      </c>
      <c r="I5" s="218">
        <v>2701000000</v>
      </c>
      <c r="J5" s="218">
        <v>963449000</v>
      </c>
      <c r="K5" s="218">
        <v>316000000</v>
      </c>
      <c r="L5" s="218">
        <v>14200526630</v>
      </c>
    </row>
    <row r="6" spans="1:3" ht="12.75">
      <c r="A6" s="218" t="s">
        <v>1026</v>
      </c>
      <c r="C6" s="219">
        <f t="shared" si="0"/>
        <v>0</v>
      </c>
    </row>
    <row r="7" spans="1:12" ht="12.75">
      <c r="A7" s="218" t="s">
        <v>1048</v>
      </c>
      <c r="B7" s="218">
        <v>89017661258</v>
      </c>
      <c r="C7" s="219">
        <f t="shared" si="0"/>
        <v>76630896258</v>
      </c>
      <c r="E7" s="219">
        <f>'[2]Sheet10'!O206</f>
        <v>19196388900</v>
      </c>
      <c r="F7" s="219">
        <f>'[2]Sheet10'!O282</f>
        <v>11482767000</v>
      </c>
      <c r="G7" s="219">
        <f>'[2]Sheet10'!O347</f>
        <v>12316407000</v>
      </c>
      <c r="H7" s="219">
        <f>'[2]Sheet10'!O350</f>
        <v>582000000</v>
      </c>
      <c r="I7" s="219">
        <f>'[2]Sheet10'!O355+'[2]Sheet10'!O560</f>
        <v>9744071000</v>
      </c>
      <c r="J7" s="219">
        <f>'[2]Sheet10'!O429</f>
        <v>10292648400</v>
      </c>
      <c r="K7" s="219">
        <f>'[2]Sheet10'!O485</f>
        <v>5563191358</v>
      </c>
      <c r="L7" s="219">
        <f>'[2]Sheet10'!O517</f>
        <v>7453422600</v>
      </c>
    </row>
    <row r="8" spans="3:12" ht="12.75">
      <c r="C8" s="219">
        <f t="shared" si="0"/>
        <v>12386765000</v>
      </c>
      <c r="E8" s="219"/>
      <c r="F8" s="219">
        <f>'[2]Sheet10'!O222</f>
        <v>4858756500</v>
      </c>
      <c r="G8" s="219">
        <f>'[2]Sheet10'!O293</f>
        <v>2976535000</v>
      </c>
      <c r="H8" s="219"/>
      <c r="I8" s="219">
        <f>'[2]Sheet10'!O524</f>
        <v>2129310000</v>
      </c>
      <c r="J8" s="219"/>
      <c r="K8" s="219">
        <f>'[2]Sheet10'!O446</f>
        <v>2422163500</v>
      </c>
      <c r="L8" s="219"/>
    </row>
    <row r="9" spans="1:12" ht="12.75">
      <c r="A9" s="218" t="s">
        <v>1049</v>
      </c>
      <c r="B9" s="218">
        <v>17224433567</v>
      </c>
      <c r="C9" s="219">
        <f t="shared" si="0"/>
        <v>17224433567</v>
      </c>
      <c r="E9" s="218">
        <v>1806155667</v>
      </c>
      <c r="F9" s="218">
        <v>3935688700</v>
      </c>
      <c r="G9" s="218">
        <v>2365965000</v>
      </c>
      <c r="H9" s="218">
        <v>251657000</v>
      </c>
      <c r="I9" s="218">
        <v>2288699500</v>
      </c>
      <c r="J9" s="218">
        <v>1611800000</v>
      </c>
      <c r="K9" s="218">
        <v>3131909700</v>
      </c>
      <c r="L9" s="218">
        <v>1832558000</v>
      </c>
    </row>
    <row r="10" ht="12.75"/>
    <row r="11" ht="12.75">
      <c r="C11" s="219">
        <f>C7+C8-B7</f>
        <v>0</v>
      </c>
    </row>
    <row r="12" ht="12.75">
      <c r="B12" s="218">
        <v>1000000</v>
      </c>
    </row>
    <row r="13" spans="1:13" s="221" customFormat="1" ht="24" customHeight="1">
      <c r="A13" s="220"/>
      <c r="B13" s="220" t="s">
        <v>1035</v>
      </c>
      <c r="C13" s="220" t="s">
        <v>1036</v>
      </c>
      <c r="D13" s="220" t="s">
        <v>1037</v>
      </c>
      <c r="E13" s="220" t="s">
        <v>1038</v>
      </c>
      <c r="F13" s="220" t="s">
        <v>1039</v>
      </c>
      <c r="G13" s="220" t="s">
        <v>1040</v>
      </c>
      <c r="H13" s="220" t="s">
        <v>1041</v>
      </c>
      <c r="I13" s="220" t="s">
        <v>1042</v>
      </c>
      <c r="J13" s="220" t="s">
        <v>1043</v>
      </c>
      <c r="K13" s="220" t="s">
        <v>1044</v>
      </c>
      <c r="L13" s="220" t="s">
        <v>1045</v>
      </c>
      <c r="M13" s="220" t="s">
        <v>1046</v>
      </c>
    </row>
    <row r="14" spans="1:13" s="223" customFormat="1" ht="21.75" customHeight="1">
      <c r="A14" s="222" t="s">
        <v>1047</v>
      </c>
      <c r="B14" s="222"/>
      <c r="C14" s="222"/>
      <c r="D14" s="222">
        <v>1561</v>
      </c>
      <c r="E14" s="222">
        <v>1562</v>
      </c>
      <c r="F14" s="222">
        <v>1563</v>
      </c>
      <c r="G14" s="222">
        <v>1564</v>
      </c>
      <c r="H14" s="222">
        <v>1565</v>
      </c>
      <c r="I14" s="222">
        <v>1566</v>
      </c>
      <c r="J14" s="222">
        <v>1567</v>
      </c>
      <c r="K14" s="222">
        <v>1568</v>
      </c>
      <c r="L14" s="222">
        <v>1569</v>
      </c>
      <c r="M14" s="222"/>
    </row>
    <row r="15" spans="1:13" s="227" customFormat="1" ht="31.5" customHeight="1">
      <c r="A15" s="224" t="s">
        <v>1048</v>
      </c>
      <c r="B15" s="225">
        <v>57436.862</v>
      </c>
      <c r="C15" s="225">
        <f aca="true" t="shared" si="1" ref="C15:C20">SUM(D15:M15)</f>
        <v>57436.861999999994</v>
      </c>
      <c r="D15" s="224">
        <v>0</v>
      </c>
      <c r="E15" s="226">
        <v>9999.421</v>
      </c>
      <c r="F15" s="226">
        <v>4963.003</v>
      </c>
      <c r="G15" s="226">
        <v>6079.731</v>
      </c>
      <c r="H15" s="226">
        <v>0</v>
      </c>
      <c r="I15" s="226">
        <v>3876.303</v>
      </c>
      <c r="J15" s="226">
        <v>1298.706</v>
      </c>
      <c r="K15" s="226">
        <v>0</v>
      </c>
      <c r="L15" s="226">
        <v>31177.899</v>
      </c>
      <c r="M15" s="226">
        <v>41.799</v>
      </c>
    </row>
    <row r="16" spans="1:13" s="227" customFormat="1" ht="31.5" customHeight="1">
      <c r="A16" s="224" t="s">
        <v>1049</v>
      </c>
      <c r="B16" s="225">
        <v>30823.88762</v>
      </c>
      <c r="C16" s="225">
        <f t="shared" si="1"/>
        <v>30823.88762</v>
      </c>
      <c r="D16" s="224">
        <v>15</v>
      </c>
      <c r="E16" s="226">
        <v>6655.13449</v>
      </c>
      <c r="F16" s="226">
        <v>2582.9885</v>
      </c>
      <c r="G16" s="226">
        <v>3293.789</v>
      </c>
      <c r="H16" s="226">
        <v>96</v>
      </c>
      <c r="I16" s="226">
        <v>2701</v>
      </c>
      <c r="J16" s="226">
        <v>963.449</v>
      </c>
      <c r="K16" s="226">
        <v>316</v>
      </c>
      <c r="L16" s="226">
        <v>14200.52663</v>
      </c>
      <c r="M16" s="226">
        <v>0</v>
      </c>
    </row>
    <row r="17" spans="1:13" s="227" customFormat="1" ht="31.5" customHeight="1">
      <c r="A17" s="224" t="s">
        <v>1026</v>
      </c>
      <c r="B17" s="225">
        <v>0</v>
      </c>
      <c r="C17" s="225">
        <f t="shared" si="1"/>
        <v>0</v>
      </c>
      <c r="D17" s="224">
        <v>0</v>
      </c>
      <c r="E17" s="226">
        <v>0</v>
      </c>
      <c r="F17" s="226">
        <v>0</v>
      </c>
      <c r="G17" s="226">
        <v>0</v>
      </c>
      <c r="H17" s="226">
        <v>0</v>
      </c>
      <c r="I17" s="226">
        <v>0</v>
      </c>
      <c r="J17" s="226">
        <v>0</v>
      </c>
      <c r="K17" s="226">
        <v>0</v>
      </c>
      <c r="L17" s="226">
        <v>0</v>
      </c>
      <c r="M17" s="226">
        <v>0</v>
      </c>
    </row>
    <row r="18" spans="1:13" s="227" customFormat="1" ht="31.5" customHeight="1">
      <c r="A18" s="224" t="s">
        <v>1048</v>
      </c>
      <c r="B18" s="225">
        <v>89017.661258</v>
      </c>
      <c r="C18" s="225">
        <f t="shared" si="1"/>
        <v>73498.89625800001</v>
      </c>
      <c r="D18" s="224">
        <v>0</v>
      </c>
      <c r="E18" s="228">
        <v>19196.3889</v>
      </c>
      <c r="F18" s="228">
        <v>11482.767</v>
      </c>
      <c r="G18" s="228">
        <v>12316.407</v>
      </c>
      <c r="H18" s="228">
        <f>582-H19</f>
        <v>282</v>
      </c>
      <c r="I18" s="228">
        <v>9744.071</v>
      </c>
      <c r="J18" s="228">
        <f>10292.6484-J19</f>
        <v>7460.6484</v>
      </c>
      <c r="K18" s="228">
        <v>5563.191358</v>
      </c>
      <c r="L18" s="228">
        <v>7453.4226</v>
      </c>
      <c r="M18" s="228">
        <v>0</v>
      </c>
    </row>
    <row r="19" spans="1:13" s="227" customFormat="1" ht="31.5" customHeight="1">
      <c r="A19" s="224" t="s">
        <v>1050</v>
      </c>
      <c r="B19" s="225">
        <v>0</v>
      </c>
      <c r="C19" s="225">
        <f t="shared" si="1"/>
        <v>16814.511000000002</v>
      </c>
      <c r="D19" s="224">
        <v>0</v>
      </c>
      <c r="E19" s="228">
        <v>0</v>
      </c>
      <c r="F19" s="228">
        <v>4858.7565</v>
      </c>
      <c r="G19" s="228">
        <v>2976.535</v>
      </c>
      <c r="H19" s="228">
        <v>300</v>
      </c>
      <c r="I19" s="228">
        <v>2129.31</v>
      </c>
      <c r="J19" s="228">
        <v>2832</v>
      </c>
      <c r="K19" s="228">
        <f>2422.1635+1295.746</f>
        <v>3717.9095</v>
      </c>
      <c r="L19" s="228">
        <v>0</v>
      </c>
      <c r="M19" s="228">
        <v>0</v>
      </c>
    </row>
    <row r="20" spans="1:13" s="227" customFormat="1" ht="31.5" customHeight="1">
      <c r="A20" s="224" t="s">
        <v>1049</v>
      </c>
      <c r="B20" s="225">
        <v>17224.433567</v>
      </c>
      <c r="C20" s="225">
        <f t="shared" si="1"/>
        <v>17224.433567</v>
      </c>
      <c r="D20" s="224">
        <v>0</v>
      </c>
      <c r="E20" s="226">
        <v>1806.155667</v>
      </c>
      <c r="F20" s="226">
        <v>3935.6887</v>
      </c>
      <c r="G20" s="226">
        <v>2365.965</v>
      </c>
      <c r="H20" s="226">
        <v>251.657</v>
      </c>
      <c r="I20" s="226">
        <v>2288.6995</v>
      </c>
      <c r="J20" s="226">
        <v>1611.8</v>
      </c>
      <c r="K20" s="226">
        <v>3131.9097</v>
      </c>
      <c r="L20" s="226">
        <v>1832.558</v>
      </c>
      <c r="M20" s="226">
        <v>0</v>
      </c>
    </row>
    <row r="21" spans="2:13" ht="12.75">
      <c r="B21" s="219">
        <f>SUM(B15:B20)</f>
        <v>194502.844445</v>
      </c>
      <c r="C21" s="219">
        <f>SUM(C15:C20)</f>
        <v>195798.590445</v>
      </c>
      <c r="D21" s="219">
        <f aca="true" t="shared" si="2" ref="D21:M21">SUM(D15:D20)</f>
        <v>15</v>
      </c>
      <c r="E21" s="219">
        <f t="shared" si="2"/>
        <v>37657.100057</v>
      </c>
      <c r="F21" s="219">
        <f>SUM(F15:F20)</f>
        <v>27823.2037</v>
      </c>
      <c r="G21" s="219">
        <f t="shared" si="2"/>
        <v>27032.427</v>
      </c>
      <c r="H21" s="219">
        <f t="shared" si="2"/>
        <v>929.657</v>
      </c>
      <c r="I21" s="219">
        <f t="shared" si="2"/>
        <v>20739.3835</v>
      </c>
      <c r="J21" s="219">
        <f t="shared" si="2"/>
        <v>14166.6034</v>
      </c>
      <c r="K21" s="219">
        <f t="shared" si="2"/>
        <v>12729.010558</v>
      </c>
      <c r="L21" s="219">
        <f t="shared" si="2"/>
        <v>54664.40622999999</v>
      </c>
      <c r="M21" s="219">
        <f t="shared" si="2"/>
        <v>41.799</v>
      </c>
    </row>
    <row r="22" spans="1:3" ht="12.75">
      <c r="A22" s="218" t="s">
        <v>1051</v>
      </c>
      <c r="B22" s="218">
        <f>B23+B24</f>
        <v>315.826</v>
      </c>
      <c r="C22" s="219">
        <f>C21+B28+B29+B31+B33</f>
        <v>236948.09268099998</v>
      </c>
    </row>
    <row r="23" ht="12.75">
      <c r="B23" s="218">
        <v>173.043</v>
      </c>
    </row>
    <row r="24" ht="12.75">
      <c r="B24" s="218">
        <v>142.783</v>
      </c>
    </row>
    <row r="25" ht="12.75">
      <c r="B25" s="219">
        <f>B15+B16+B18+B19+B20+B22</f>
        <v>194818.670445</v>
      </c>
    </row>
    <row r="26" ht="12.75">
      <c r="A26" s="218" t="s">
        <v>1052</v>
      </c>
    </row>
    <row r="27" ht="12.75">
      <c r="A27" s="229" t="s">
        <v>1047</v>
      </c>
    </row>
    <row r="28" spans="1:3" ht="12.75">
      <c r="A28" s="218" t="s">
        <v>1048</v>
      </c>
      <c r="B28" s="219">
        <f>'[2]CTMT -Dt'!O35/1000000</f>
        <v>10177.183</v>
      </c>
      <c r="C28" s="219">
        <f>B28+B29+C15+C16</f>
        <v>100038.93262</v>
      </c>
    </row>
    <row r="29" spans="1:3" ht="12.75">
      <c r="A29" s="218" t="s">
        <v>1049</v>
      </c>
      <c r="B29" s="218">
        <v>1601</v>
      </c>
      <c r="C29" s="219">
        <f>C18+C19+C20+B33</f>
        <v>119519.14332500001</v>
      </c>
    </row>
    <row r="30" spans="1:3" ht="12.75">
      <c r="A30" s="218" t="s">
        <v>1026</v>
      </c>
      <c r="C30" s="219">
        <f>C18+C19</f>
        <v>90313.407258</v>
      </c>
    </row>
    <row r="31" spans="1:2" ht="12.75">
      <c r="A31" s="218" t="s">
        <v>1048</v>
      </c>
      <c r="B31" s="218">
        <f>'[2]CTMT -Dt'!O106/1000000</f>
        <v>17390.016736</v>
      </c>
    </row>
    <row r="32" ht="12.75">
      <c r="A32" s="218" t="s">
        <v>1050</v>
      </c>
    </row>
    <row r="33" spans="1:3" ht="12.75">
      <c r="A33" s="218" t="s">
        <v>1049</v>
      </c>
      <c r="B33" s="218">
        <f>'[2]ctmt -sn'!N34/1000000</f>
        <v>11981.3025</v>
      </c>
      <c r="C33" s="218">
        <f>C35+C34</f>
        <v>194502844445</v>
      </c>
    </row>
    <row r="34" ht="12.75">
      <c r="C34" s="218">
        <v>48048321187</v>
      </c>
    </row>
    <row r="35" ht="12.75">
      <c r="C35" s="218">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7" customWidth="1"/>
    <col min="2" max="2" width="20.57421875" style="337" customWidth="1"/>
    <col min="3" max="3" width="10.7109375" style="337" customWidth="1"/>
    <col min="4" max="4" width="9.00390625" style="337" customWidth="1"/>
    <col min="5" max="5" width="10.421875" style="337" customWidth="1"/>
    <col min="6" max="16384" width="9.00390625" style="337" customWidth="1"/>
  </cols>
  <sheetData>
    <row r="1" ht="14.25">
      <c r="J1" s="367" t="s">
        <v>86</v>
      </c>
    </row>
    <row r="2" spans="1:10" ht="18">
      <c r="A2" s="538" t="s">
        <v>117</v>
      </c>
      <c r="B2" s="538"/>
      <c r="C2" s="538"/>
      <c r="D2" s="538"/>
      <c r="E2" s="538"/>
      <c r="F2" s="538"/>
      <c r="G2" s="538"/>
      <c r="H2" s="538"/>
      <c r="I2" s="538"/>
      <c r="J2" s="538"/>
    </row>
    <row r="3" spans="1:10" ht="14.25">
      <c r="A3" s="537" t="s">
        <v>1143</v>
      </c>
      <c r="B3" s="537"/>
      <c r="C3" s="537"/>
      <c r="D3" s="537"/>
      <c r="E3" s="537"/>
      <c r="F3" s="537"/>
      <c r="G3" s="537"/>
      <c r="H3" s="537"/>
      <c r="I3" s="537"/>
      <c r="J3" s="537"/>
    </row>
    <row r="4" spans="10:12" ht="14.25">
      <c r="J4" s="368" t="s">
        <v>1</v>
      </c>
      <c r="K4" s="369"/>
      <c r="L4" s="369"/>
    </row>
    <row r="5" spans="1:10" ht="18" customHeight="1">
      <c r="A5" s="531" t="s">
        <v>2</v>
      </c>
      <c r="B5" s="531" t="s">
        <v>60</v>
      </c>
      <c r="C5" s="531" t="s">
        <v>87</v>
      </c>
      <c r="D5" s="531" t="s">
        <v>66</v>
      </c>
      <c r="E5" s="531"/>
      <c r="F5" s="531"/>
      <c r="G5" s="531"/>
      <c r="H5" s="531"/>
      <c r="I5" s="531"/>
      <c r="J5" s="531"/>
    </row>
    <row r="6" spans="1:10" ht="97.5" customHeight="1">
      <c r="A6" s="531"/>
      <c r="B6" s="531"/>
      <c r="C6" s="531"/>
      <c r="D6" s="328" t="s">
        <v>88</v>
      </c>
      <c r="E6" s="328" t="s">
        <v>89</v>
      </c>
      <c r="F6" s="328" t="s">
        <v>1030</v>
      </c>
      <c r="G6" s="328" t="s">
        <v>90</v>
      </c>
      <c r="H6" s="328" t="s">
        <v>13</v>
      </c>
      <c r="I6" s="328" t="s">
        <v>91</v>
      </c>
      <c r="J6" s="328" t="s">
        <v>1031</v>
      </c>
    </row>
    <row r="7" spans="1:10" s="370" customFormat="1" ht="14.25">
      <c r="A7" s="373" t="s">
        <v>5</v>
      </c>
      <c r="B7" s="373" t="s">
        <v>6</v>
      </c>
      <c r="C7" s="373">
        <v>1</v>
      </c>
      <c r="D7" s="373">
        <v>2</v>
      </c>
      <c r="E7" s="373">
        <v>3</v>
      </c>
      <c r="F7" s="373">
        <v>4</v>
      </c>
      <c r="G7" s="373">
        <v>5</v>
      </c>
      <c r="H7" s="373">
        <v>6</v>
      </c>
      <c r="I7" s="373">
        <v>7</v>
      </c>
      <c r="J7" s="373">
        <v>8</v>
      </c>
    </row>
    <row r="8" spans="1:10" ht="19.5" customHeight="1">
      <c r="A8" s="328"/>
      <c r="B8" s="338" t="s">
        <v>62</v>
      </c>
      <c r="C8" s="371" t="e">
        <f aca="true" t="shared" si="0" ref="C8:I8">SUM(C9:C18)</f>
        <v>#REF!</v>
      </c>
      <c r="D8" s="371">
        <f t="shared" si="0"/>
        <v>849816.56</v>
      </c>
      <c r="E8" s="371" t="e">
        <f t="shared" si="0"/>
        <v>#REF!</v>
      </c>
      <c r="F8" s="371" t="e">
        <f t="shared" si="0"/>
        <v>#REF!</v>
      </c>
      <c r="G8" s="371">
        <f t="shared" si="0"/>
        <v>7409.728999999999</v>
      </c>
      <c r="H8" s="371">
        <f t="shared" si="0"/>
        <v>340353.86</v>
      </c>
      <c r="I8" s="371">
        <f t="shared" si="0"/>
        <v>146057.69</v>
      </c>
      <c r="J8" s="371">
        <f>SUM(J9:J18)</f>
        <v>1992.5</v>
      </c>
    </row>
    <row r="9" spans="1:10" ht="14.25">
      <c r="A9" s="341">
        <v>1</v>
      </c>
      <c r="B9" s="366" t="s">
        <v>122</v>
      </c>
      <c r="C9" s="372" t="e">
        <f>D9+E9+G9+H9+I9+F9+J9</f>
        <v>#REF!</v>
      </c>
      <c r="D9" s="372">
        <v>344768.8</v>
      </c>
      <c r="E9" s="372" t="e">
        <f>#REF!-F9</f>
        <v>#REF!</v>
      </c>
      <c r="F9" s="372" t="e">
        <f>#REF!-G9</f>
        <v>#REF!</v>
      </c>
      <c r="G9" s="372">
        <f>'BS huyen'!F93</f>
        <v>0</v>
      </c>
      <c r="H9" s="372">
        <v>82903</v>
      </c>
      <c r="I9" s="372">
        <v>44747.4</v>
      </c>
      <c r="J9" s="372"/>
    </row>
    <row r="10" spans="1:10" ht="14.25">
      <c r="A10" s="341">
        <v>2</v>
      </c>
      <c r="B10" s="366" t="s">
        <v>123</v>
      </c>
      <c r="C10" s="372" t="e">
        <f aca="true" t="shared" si="1" ref="C10:C18">D10+E10+G10+H10+I10+F10+J10</f>
        <v>#REF!</v>
      </c>
      <c r="D10" s="372">
        <v>78866.3</v>
      </c>
      <c r="E10" s="372" t="e">
        <f>#REF!-F10</f>
        <v>#REF!</v>
      </c>
      <c r="F10" s="372" t="e">
        <f>#REF!-G10</f>
        <v>#REF!</v>
      </c>
      <c r="G10" s="372">
        <f>'BS huyen'!G93</f>
        <v>0</v>
      </c>
      <c r="H10" s="372">
        <v>13766</v>
      </c>
      <c r="I10" s="372">
        <v>2563</v>
      </c>
      <c r="J10" s="372">
        <v>188</v>
      </c>
    </row>
    <row r="11" spans="1:10" ht="14.25">
      <c r="A11" s="341">
        <v>3</v>
      </c>
      <c r="B11" s="366" t="s">
        <v>124</v>
      </c>
      <c r="C11" s="372" t="e">
        <f t="shared" si="1"/>
        <v>#REF!</v>
      </c>
      <c r="D11" s="372">
        <v>106266</v>
      </c>
      <c r="E11" s="372" t="e">
        <f>#REF!-F11</f>
        <v>#REF!</v>
      </c>
      <c r="F11" s="372" t="e">
        <f>#REF!-G11</f>
        <v>#REF!</v>
      </c>
      <c r="G11" s="372">
        <f>'BS huyen'!J93</f>
        <v>0</v>
      </c>
      <c r="H11" s="372">
        <f>20122.7</f>
        <v>20122.7</v>
      </c>
      <c r="I11" s="372">
        <v>7017.9</v>
      </c>
      <c r="J11" s="372">
        <v>603.8</v>
      </c>
    </row>
    <row r="12" spans="1:10" ht="14.25">
      <c r="A12" s="341">
        <v>4</v>
      </c>
      <c r="B12" s="366" t="s">
        <v>125</v>
      </c>
      <c r="C12" s="372" t="e">
        <f t="shared" si="1"/>
        <v>#REF!</v>
      </c>
      <c r="D12" s="372">
        <v>49581.4</v>
      </c>
      <c r="E12" s="372" t="e">
        <f>#REF!-F12-G12</f>
        <v>#REF!</v>
      </c>
      <c r="F12" s="372" t="e">
        <f>#REF!-G12</f>
        <v>#REF!</v>
      </c>
      <c r="G12" s="372">
        <f>'BS huyen'!K93</f>
        <v>3426.406</v>
      </c>
      <c r="H12" s="372">
        <v>56788</v>
      </c>
      <c r="I12" s="372">
        <v>8522</v>
      </c>
      <c r="J12" s="372">
        <v>402.7</v>
      </c>
    </row>
    <row r="13" spans="1:10" ht="14.25">
      <c r="A13" s="341">
        <v>5</v>
      </c>
      <c r="B13" s="366" t="s">
        <v>126</v>
      </c>
      <c r="C13" s="372" t="e">
        <f>D13+E13+G13+H13+I13+F13+J13</f>
        <v>#REF!</v>
      </c>
      <c r="D13" s="372">
        <v>70124.46</v>
      </c>
      <c r="E13" s="372" t="e">
        <f>#REF!-F13-G13</f>
        <v>#REF!</v>
      </c>
      <c r="F13" s="372" t="e">
        <f>#REF!-G13</f>
        <v>#REF!</v>
      </c>
      <c r="G13" s="372">
        <f>'BS huyen'!H93</f>
        <v>1882.341</v>
      </c>
      <c r="H13" s="372">
        <v>20302.16</v>
      </c>
      <c r="I13" s="372">
        <v>47391.39</v>
      </c>
      <c r="J13" s="372"/>
    </row>
    <row r="14" spans="1:10" ht="14.25">
      <c r="A14" s="341">
        <v>6</v>
      </c>
      <c r="B14" s="366" t="s">
        <v>127</v>
      </c>
      <c r="C14" s="372" t="e">
        <f t="shared" si="1"/>
        <v>#REF!</v>
      </c>
      <c r="D14" s="372">
        <f>51062+5865.3</f>
        <v>56927.3</v>
      </c>
      <c r="E14" s="372" t="e">
        <f>#REF!-F14-G14</f>
        <v>#REF!</v>
      </c>
      <c r="F14" s="372" t="e">
        <f>#REF!-G14</f>
        <v>#REF!</v>
      </c>
      <c r="G14" s="372">
        <f>'BS huyen'!I93</f>
        <v>2100.982</v>
      </c>
      <c r="H14" s="372">
        <v>32204</v>
      </c>
      <c r="I14" s="372">
        <v>6331</v>
      </c>
      <c r="J14" s="372">
        <v>298</v>
      </c>
    </row>
    <row r="15" spans="1:10" ht="14.25">
      <c r="A15" s="341">
        <v>7</v>
      </c>
      <c r="B15" s="366" t="s">
        <v>130</v>
      </c>
      <c r="C15" s="372" t="e">
        <f t="shared" si="1"/>
        <v>#REF!</v>
      </c>
      <c r="D15" s="372">
        <f>55062+6017.3</f>
        <v>61079.3</v>
      </c>
      <c r="E15" s="372" t="e">
        <f>#REF!-F15</f>
        <v>#REF!</v>
      </c>
      <c r="F15" s="372" t="e">
        <f>#REF!-G15</f>
        <v>#REF!</v>
      </c>
      <c r="G15" s="372">
        <f>'BS huyen'!M93</f>
        <v>0</v>
      </c>
      <c r="H15" s="372">
        <v>13611</v>
      </c>
      <c r="I15" s="372">
        <v>13508</v>
      </c>
      <c r="J15" s="372">
        <v>500</v>
      </c>
    </row>
    <row r="16" spans="1:10" ht="14.25">
      <c r="A16" s="341">
        <v>8</v>
      </c>
      <c r="B16" s="366" t="s">
        <v>128</v>
      </c>
      <c r="C16" s="372" t="e">
        <f t="shared" si="1"/>
        <v>#REF!</v>
      </c>
      <c r="D16" s="372">
        <f>13315+8498</f>
        <v>21813</v>
      </c>
      <c r="E16" s="372" t="e">
        <f>#REF!-F16</f>
        <v>#REF!</v>
      </c>
      <c r="F16" s="372" t="e">
        <f>#REF!-G16</f>
        <v>#REF!</v>
      </c>
      <c r="G16" s="372">
        <f>'BS huyen'!N93</f>
        <v>0</v>
      </c>
      <c r="H16" s="372">
        <v>26111</v>
      </c>
      <c r="I16" s="372">
        <v>10051</v>
      </c>
      <c r="J16" s="372"/>
    </row>
    <row r="17" spans="1:10" ht="14.25">
      <c r="A17" s="341">
        <v>9</v>
      </c>
      <c r="B17" s="366" t="s">
        <v>129</v>
      </c>
      <c r="C17" s="372" t="e">
        <f t="shared" si="1"/>
        <v>#REF!</v>
      </c>
      <c r="D17" s="372">
        <v>59574</v>
      </c>
      <c r="E17" s="372" t="e">
        <f>#REF!-F17</f>
        <v>#REF!</v>
      </c>
      <c r="F17" s="372" t="e">
        <f>#REF!-G17</f>
        <v>#REF!</v>
      </c>
      <c r="G17" s="372">
        <f>'BS huyen'!L93</f>
        <v>0</v>
      </c>
      <c r="H17" s="372">
        <v>73409</v>
      </c>
      <c r="I17" s="372">
        <v>3428</v>
      </c>
      <c r="J17" s="372"/>
    </row>
    <row r="18" spans="1:10" ht="14.25">
      <c r="A18" s="341">
        <v>10</v>
      </c>
      <c r="B18" s="366" t="s">
        <v>131</v>
      </c>
      <c r="C18" s="372" t="e">
        <f t="shared" si="1"/>
        <v>#REF!</v>
      </c>
      <c r="D18" s="372">
        <v>816</v>
      </c>
      <c r="E18" s="372" t="e">
        <f>#REF!-F18</f>
        <v>#REF!</v>
      </c>
      <c r="F18" s="372" t="e">
        <f>#REF!-G18</f>
        <v>#REF!</v>
      </c>
      <c r="G18" s="372">
        <f>'BS huyen'!O93</f>
        <v>0</v>
      </c>
      <c r="H18" s="372">
        <v>1137</v>
      </c>
      <c r="I18" s="372">
        <v>2498</v>
      </c>
      <c r="J18" s="372"/>
    </row>
    <row r="19" ht="14.25">
      <c r="A19" s="336"/>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8" customWidth="1"/>
    <col min="2" max="2" width="21.00390625" style="179" customWidth="1"/>
    <col min="3" max="3" width="7.7109375" style="179" customWidth="1"/>
    <col min="4" max="4" width="25.7109375" style="179" customWidth="1"/>
    <col min="5" max="5" width="12.28125" style="179" customWidth="1"/>
    <col min="6" max="7" width="11.00390625" style="179" customWidth="1"/>
    <col min="8" max="8" width="11.7109375" style="179" customWidth="1"/>
    <col min="9" max="9" width="9.57421875" style="179" customWidth="1"/>
    <col min="10" max="10" width="11.7109375" style="179" customWidth="1"/>
    <col min="11" max="11" width="10.421875" style="179" customWidth="1"/>
    <col min="12" max="14" width="9.8515625" style="179" bestFit="1" customWidth="1"/>
    <col min="15" max="15" width="10.8515625" style="179" customWidth="1"/>
    <col min="16" max="16384" width="9.00390625" style="179" customWidth="1"/>
  </cols>
  <sheetData>
    <row r="1" spans="10:11" ht="18.75">
      <c r="J1" s="539" t="s">
        <v>855</v>
      </c>
      <c r="K1" s="540"/>
    </row>
    <row r="2" spans="1:14" ht="21.75" customHeight="1">
      <c r="A2" s="541" t="s">
        <v>856</v>
      </c>
      <c r="B2" s="542"/>
      <c r="C2" s="542"/>
      <c r="D2" s="542"/>
      <c r="E2" s="542"/>
      <c r="F2" s="542"/>
      <c r="G2" s="542"/>
      <c r="H2" s="542"/>
      <c r="I2" s="542"/>
      <c r="J2" s="542"/>
      <c r="K2" s="542"/>
      <c r="L2" s="180"/>
      <c r="M2" s="180"/>
      <c r="N2" s="180"/>
    </row>
    <row r="3" spans="1:15" s="182" customFormat="1" ht="25.5" customHeight="1">
      <c r="A3" s="181"/>
      <c r="B3" s="181"/>
      <c r="C3" s="181"/>
      <c r="D3" s="181"/>
      <c r="E3" s="181"/>
      <c r="F3" s="181"/>
      <c r="G3" s="181"/>
      <c r="H3" s="181"/>
      <c r="I3" s="181"/>
      <c r="J3" s="181"/>
      <c r="K3" s="181"/>
      <c r="L3" s="181"/>
      <c r="M3" s="181"/>
      <c r="N3" s="181"/>
      <c r="O3" s="181"/>
    </row>
    <row r="4" spans="3:15" s="182" customFormat="1" ht="15.75">
      <c r="C4" s="183"/>
      <c r="D4" s="183"/>
      <c r="E4" s="184">
        <f>E10-E12</f>
        <v>206438</v>
      </c>
      <c r="F4" s="185"/>
      <c r="G4" s="185"/>
      <c r="H4" s="185"/>
      <c r="I4" s="185"/>
      <c r="J4" s="185"/>
      <c r="K4" s="185"/>
      <c r="L4" s="185"/>
      <c r="M4" s="185"/>
      <c r="N4" s="185"/>
      <c r="O4" s="186" t="s">
        <v>857</v>
      </c>
    </row>
    <row r="5" spans="1:15" s="190" customFormat="1" ht="50.25" customHeight="1">
      <c r="A5" s="187" t="s">
        <v>2</v>
      </c>
      <c r="B5" s="188" t="s">
        <v>858</v>
      </c>
      <c r="C5" s="188" t="s">
        <v>859</v>
      </c>
      <c r="D5" s="187" t="s">
        <v>860</v>
      </c>
      <c r="E5" s="189" t="s">
        <v>61</v>
      </c>
      <c r="F5" s="231" t="s">
        <v>1053</v>
      </c>
      <c r="G5" s="231" t="s">
        <v>1054</v>
      </c>
      <c r="H5" s="189" t="s">
        <v>861</v>
      </c>
      <c r="I5" s="231" t="s">
        <v>1055</v>
      </c>
      <c r="J5" s="189" t="s">
        <v>862</v>
      </c>
      <c r="K5" s="189" t="s">
        <v>863</v>
      </c>
      <c r="L5" s="189" t="s">
        <v>864</v>
      </c>
      <c r="M5" s="189" t="s">
        <v>865</v>
      </c>
      <c r="N5" s="189" t="s">
        <v>866</v>
      </c>
      <c r="O5" s="189" t="s">
        <v>867</v>
      </c>
    </row>
    <row r="6" spans="1:15" s="190" customFormat="1" ht="50.25" customHeight="1">
      <c r="A6" s="187" t="s">
        <v>5</v>
      </c>
      <c r="B6" s="191" t="s">
        <v>868</v>
      </c>
      <c r="C6" s="192"/>
      <c r="D6" s="192"/>
      <c r="E6" s="193">
        <f aca="true" t="shared" si="0" ref="E6:O6">E7+E9</f>
        <v>2752313.1463</v>
      </c>
      <c r="F6" s="193">
        <f t="shared" si="0"/>
        <v>82305.245</v>
      </c>
      <c r="G6" s="193">
        <f t="shared" si="0"/>
        <v>102116.954</v>
      </c>
      <c r="H6" s="193">
        <f t="shared" si="0"/>
        <v>345979.476</v>
      </c>
      <c r="I6" s="193">
        <f t="shared" si="0"/>
        <v>386835.797</v>
      </c>
      <c r="J6" s="193">
        <f t="shared" si="0"/>
        <v>373270.812</v>
      </c>
      <c r="K6" s="193">
        <f t="shared" si="0"/>
        <v>348191.0255</v>
      </c>
      <c r="L6" s="193">
        <f t="shared" si="0"/>
        <v>520946.37</v>
      </c>
      <c r="M6" s="193">
        <f t="shared" si="0"/>
        <v>203207.122</v>
      </c>
      <c r="N6" s="193">
        <f t="shared" si="0"/>
        <v>367446.2848</v>
      </c>
      <c r="O6" s="193">
        <f t="shared" si="0"/>
        <v>22014.06</v>
      </c>
    </row>
    <row r="7" spans="1:15" s="197" customFormat="1" ht="27.75" customHeight="1">
      <c r="A7" s="194" t="s">
        <v>7</v>
      </c>
      <c r="B7" s="195" t="s">
        <v>869</v>
      </c>
      <c r="C7" s="194"/>
      <c r="D7" s="194"/>
      <c r="E7" s="196">
        <f>E8</f>
        <v>2315756</v>
      </c>
      <c r="F7" s="196">
        <f aca="true" t="shared" si="1" ref="F7:O7">F8</f>
        <v>67688</v>
      </c>
      <c r="G7" s="196">
        <f t="shared" si="1"/>
        <v>95663</v>
      </c>
      <c r="H7" s="196">
        <f t="shared" si="1"/>
        <v>294263</v>
      </c>
      <c r="I7" s="196">
        <f t="shared" si="1"/>
        <v>340535</v>
      </c>
      <c r="J7" s="196">
        <f t="shared" si="1"/>
        <v>309787</v>
      </c>
      <c r="K7" s="196">
        <f t="shared" si="1"/>
        <v>291709</v>
      </c>
      <c r="L7" s="196">
        <f t="shared" si="1"/>
        <v>440665</v>
      </c>
      <c r="M7" s="196">
        <f t="shared" si="1"/>
        <v>175918</v>
      </c>
      <c r="N7" s="196">
        <f t="shared" si="1"/>
        <v>280646</v>
      </c>
      <c r="O7" s="196">
        <f t="shared" si="1"/>
        <v>18882</v>
      </c>
    </row>
    <row r="8" spans="1:16" s="182" customFormat="1" ht="28.5" customHeight="1">
      <c r="A8" s="198">
        <v>1</v>
      </c>
      <c r="B8" s="199" t="s">
        <v>870</v>
      </c>
      <c r="C8" s="200">
        <v>3195</v>
      </c>
      <c r="D8" s="200"/>
      <c r="E8" s="196">
        <f>SUM(F8:O8)</f>
        <v>2315756</v>
      </c>
      <c r="F8" s="232">
        <v>67688</v>
      </c>
      <c r="G8" s="232">
        <v>95663</v>
      </c>
      <c r="H8" s="232">
        <v>294263</v>
      </c>
      <c r="I8" s="232">
        <v>340535</v>
      </c>
      <c r="J8" s="232">
        <v>309787</v>
      </c>
      <c r="K8" s="232">
        <v>291709</v>
      </c>
      <c r="L8" s="232">
        <v>440665</v>
      </c>
      <c r="M8" s="232">
        <v>175918</v>
      </c>
      <c r="N8" s="232">
        <v>280646</v>
      </c>
      <c r="O8" s="232">
        <v>18882</v>
      </c>
      <c r="P8" s="182">
        <v>1000000</v>
      </c>
    </row>
    <row r="9" spans="1:15" s="190" customFormat="1" ht="28.5" customHeight="1">
      <c r="A9" s="187" t="s">
        <v>9</v>
      </c>
      <c r="B9" s="192" t="s">
        <v>871</v>
      </c>
      <c r="C9" s="187"/>
      <c r="D9" s="187"/>
      <c r="E9" s="196">
        <f aca="true" t="shared" si="2" ref="E9:O9">SUM(E21:E130)</f>
        <v>436557.1463</v>
      </c>
      <c r="F9" s="202">
        <f t="shared" si="2"/>
        <v>14617.245</v>
      </c>
      <c r="G9" s="202">
        <f t="shared" si="2"/>
        <v>6453.954000000001</v>
      </c>
      <c r="H9" s="202">
        <f t="shared" si="2"/>
        <v>51716.476</v>
      </c>
      <c r="I9" s="202">
        <f t="shared" si="2"/>
        <v>46300.79699999999</v>
      </c>
      <c r="J9" s="202">
        <f t="shared" si="2"/>
        <v>63483.812</v>
      </c>
      <c r="K9" s="202">
        <f t="shared" si="2"/>
        <v>56482.0255</v>
      </c>
      <c r="L9" s="202">
        <f t="shared" si="2"/>
        <v>80281.37</v>
      </c>
      <c r="M9" s="202">
        <f t="shared" si="2"/>
        <v>27289.121999999996</v>
      </c>
      <c r="N9" s="202">
        <f t="shared" si="2"/>
        <v>86800.28480000001</v>
      </c>
      <c r="O9" s="202">
        <f t="shared" si="2"/>
        <v>3132.06</v>
      </c>
    </row>
    <row r="10" spans="1:15" s="183" customFormat="1" ht="21.75" customHeight="1">
      <c r="A10" s="198"/>
      <c r="B10" s="233" t="s">
        <v>1025</v>
      </c>
      <c r="C10" s="198"/>
      <c r="D10" s="198"/>
      <c r="E10" s="234">
        <f>E11+E15</f>
        <v>222738</v>
      </c>
      <c r="F10" s="234">
        <f aca="true" t="shared" si="3" ref="F10:O10">F11+F15</f>
        <v>15</v>
      </c>
      <c r="G10" s="234">
        <f t="shared" si="3"/>
        <v>1108</v>
      </c>
      <c r="H10" s="234">
        <f t="shared" si="3"/>
        <v>16370.344000000001</v>
      </c>
      <c r="I10" s="234">
        <f t="shared" si="3"/>
        <v>21174.690000000002</v>
      </c>
      <c r="J10" s="234">
        <f t="shared" si="3"/>
        <v>30851.95</v>
      </c>
      <c r="K10" s="234">
        <f t="shared" si="3"/>
        <v>27257</v>
      </c>
      <c r="L10" s="234">
        <f t="shared" si="3"/>
        <v>48350</v>
      </c>
      <c r="M10" s="234">
        <f t="shared" si="3"/>
        <v>11968.05</v>
      </c>
      <c r="N10" s="234">
        <f t="shared" si="3"/>
        <v>64342.966</v>
      </c>
      <c r="O10" s="234">
        <f t="shared" si="3"/>
        <v>1300</v>
      </c>
    </row>
    <row r="11" spans="1:15" s="183" customFormat="1" ht="22.5" customHeight="1">
      <c r="A11" s="198"/>
      <c r="B11" s="233" t="s">
        <v>1026</v>
      </c>
      <c r="C11" s="198"/>
      <c r="D11" s="198"/>
      <c r="E11" s="234">
        <f aca="true" t="shared" si="4" ref="E11:E18">SUM(F11:O11)</f>
        <v>118919</v>
      </c>
      <c r="F11" s="235">
        <f>F31+F32+F33+F34+F35+F36+F37+F38+F39+F40+F41+F66+F113+F114+F115</f>
        <v>0</v>
      </c>
      <c r="G11" s="235">
        <f aca="true" t="shared" si="5" ref="G11:O11">G31+G32+G33+G34+G35+G36+G37+G38+G39+G40+G41+G66+G113+G114+G115</f>
        <v>1012</v>
      </c>
      <c r="H11" s="235">
        <f t="shared" si="5"/>
        <v>13003</v>
      </c>
      <c r="I11" s="235">
        <f t="shared" si="5"/>
        <v>13639</v>
      </c>
      <c r="J11" s="235">
        <f t="shared" si="5"/>
        <v>23200.95</v>
      </c>
      <c r="K11" s="235">
        <f t="shared" si="5"/>
        <v>17636</v>
      </c>
      <c r="L11" s="235">
        <f t="shared" si="5"/>
        <v>22506</v>
      </c>
      <c r="M11" s="235">
        <f t="shared" si="5"/>
        <v>11317.05</v>
      </c>
      <c r="N11" s="235">
        <f t="shared" si="5"/>
        <v>16605</v>
      </c>
      <c r="O11" s="235">
        <f t="shared" si="5"/>
        <v>0</v>
      </c>
    </row>
    <row r="12" spans="1:15" s="183" customFormat="1" ht="24" customHeight="1">
      <c r="A12" s="198"/>
      <c r="B12" s="233" t="s">
        <v>1056</v>
      </c>
      <c r="C12" s="198"/>
      <c r="D12" s="198"/>
      <c r="E12" s="234">
        <f t="shared" si="4"/>
        <v>16300</v>
      </c>
      <c r="F12" s="235">
        <f aca="true" t="shared" si="6" ref="F12:O12">F31+F41</f>
        <v>0</v>
      </c>
      <c r="G12" s="235">
        <f t="shared" si="6"/>
        <v>300</v>
      </c>
      <c r="H12" s="235">
        <f t="shared" si="6"/>
        <v>2832</v>
      </c>
      <c r="I12" s="235">
        <f t="shared" si="6"/>
        <v>3136</v>
      </c>
      <c r="J12" s="235">
        <f t="shared" si="6"/>
        <v>5016.95</v>
      </c>
      <c r="K12" s="235">
        <f t="shared" si="6"/>
        <v>2589</v>
      </c>
      <c r="L12" s="235">
        <f t="shared" si="6"/>
        <v>308</v>
      </c>
      <c r="M12" s="235">
        <f t="shared" si="6"/>
        <v>2118.05</v>
      </c>
      <c r="N12" s="235">
        <f t="shared" si="6"/>
        <v>0</v>
      </c>
      <c r="O12" s="235">
        <f t="shared" si="6"/>
        <v>0</v>
      </c>
    </row>
    <row r="13" spans="1:15" s="183" customFormat="1" ht="22.5" customHeight="1">
      <c r="A13" s="198"/>
      <c r="B13" s="233" t="s">
        <v>1063</v>
      </c>
      <c r="C13" s="198"/>
      <c r="D13" s="198"/>
      <c r="E13" s="234">
        <f t="shared" si="4"/>
        <v>79980</v>
      </c>
      <c r="F13" s="235"/>
      <c r="G13" s="235">
        <v>282</v>
      </c>
      <c r="H13" s="235">
        <v>8178</v>
      </c>
      <c r="I13" s="235">
        <v>8460</v>
      </c>
      <c r="J13" s="235">
        <v>11158</v>
      </c>
      <c r="K13" s="235">
        <v>12542</v>
      </c>
      <c r="L13" s="235">
        <v>19740</v>
      </c>
      <c r="M13" s="235">
        <v>4956</v>
      </c>
      <c r="N13" s="235">
        <v>14664</v>
      </c>
      <c r="O13" s="235"/>
    </row>
    <row r="14" spans="1:15" s="183" customFormat="1" ht="22.5" customHeight="1">
      <c r="A14" s="198"/>
      <c r="B14" s="233" t="s">
        <v>1064</v>
      </c>
      <c r="C14" s="198"/>
      <c r="D14" s="198"/>
      <c r="E14" s="234">
        <f t="shared" si="4"/>
        <v>22639</v>
      </c>
      <c r="F14" s="235"/>
      <c r="G14" s="235">
        <f>G11-G12-G13</f>
        <v>430</v>
      </c>
      <c r="H14" s="235">
        <f aca="true" t="shared" si="7" ref="H14:O14">H11-H12-H13</f>
        <v>1993</v>
      </c>
      <c r="I14" s="235">
        <f t="shared" si="7"/>
        <v>2043</v>
      </c>
      <c r="J14" s="235">
        <f t="shared" si="7"/>
        <v>7026</v>
      </c>
      <c r="K14" s="235">
        <f t="shared" si="7"/>
        <v>2505</v>
      </c>
      <c r="L14" s="235">
        <f t="shared" si="7"/>
        <v>2458</v>
      </c>
      <c r="M14" s="235">
        <f t="shared" si="7"/>
        <v>4243</v>
      </c>
      <c r="N14" s="235">
        <f t="shared" si="7"/>
        <v>1941</v>
      </c>
      <c r="O14" s="235">
        <f t="shared" si="7"/>
        <v>0</v>
      </c>
    </row>
    <row r="15" spans="1:15" s="183" customFormat="1" ht="21" customHeight="1">
      <c r="A15" s="198"/>
      <c r="B15" s="233" t="s">
        <v>1027</v>
      </c>
      <c r="C15" s="198"/>
      <c r="D15" s="198"/>
      <c r="E15" s="234">
        <f t="shared" si="4"/>
        <v>103819</v>
      </c>
      <c r="F15" s="235">
        <f>F46+F47+F48+F49+F50+F51+F52+F53+F54+F55+F56+F57+F58+F59+F111</f>
        <v>15</v>
      </c>
      <c r="G15" s="235">
        <f aca="true" t="shared" si="8" ref="G15:O15">G46+G47+G48+G49+G50+G51+G52+G53+G54+G55+G56+G57+G58+G59+G111</f>
        <v>96</v>
      </c>
      <c r="H15" s="235">
        <f t="shared" si="8"/>
        <v>3367.344</v>
      </c>
      <c r="I15" s="235">
        <f t="shared" si="8"/>
        <v>7535.6900000000005</v>
      </c>
      <c r="J15" s="235">
        <f t="shared" si="8"/>
        <v>7651</v>
      </c>
      <c r="K15" s="235">
        <f t="shared" si="8"/>
        <v>9621</v>
      </c>
      <c r="L15" s="235">
        <f t="shared" si="8"/>
        <v>25844</v>
      </c>
      <c r="M15" s="235">
        <f t="shared" si="8"/>
        <v>651</v>
      </c>
      <c r="N15" s="235">
        <f t="shared" si="8"/>
        <v>47737.966</v>
      </c>
      <c r="O15" s="235">
        <f t="shared" si="8"/>
        <v>1300</v>
      </c>
    </row>
    <row r="16" spans="1:15" s="183" customFormat="1" ht="21" customHeight="1">
      <c r="A16" s="198"/>
      <c r="B16" s="233" t="s">
        <v>1063</v>
      </c>
      <c r="C16" s="198"/>
      <c r="D16" s="198"/>
      <c r="E16" s="234">
        <f t="shared" si="4"/>
        <v>73377</v>
      </c>
      <c r="F16" s="235"/>
      <c r="G16" s="235"/>
      <c r="H16" s="235">
        <v>2200</v>
      </c>
      <c r="I16" s="235">
        <v>4300</v>
      </c>
      <c r="J16" s="235">
        <v>5040</v>
      </c>
      <c r="K16" s="235">
        <v>6220</v>
      </c>
      <c r="L16" s="235">
        <v>18952</v>
      </c>
      <c r="M16" s="235">
        <v>200</v>
      </c>
      <c r="N16" s="235">
        <v>35465</v>
      </c>
      <c r="O16" s="235">
        <v>1000</v>
      </c>
    </row>
    <row r="17" spans="1:15" s="183" customFormat="1" ht="21" customHeight="1">
      <c r="A17" s="198"/>
      <c r="B17" s="233" t="s">
        <v>1064</v>
      </c>
      <c r="C17" s="198"/>
      <c r="D17" s="198"/>
      <c r="E17" s="234">
        <f t="shared" si="4"/>
        <v>30442</v>
      </c>
      <c r="F17" s="235">
        <f>F15-F16</f>
        <v>15</v>
      </c>
      <c r="G17" s="235">
        <f aca="true" t="shared" si="9" ref="G17:O17">G15-G16</f>
        <v>96</v>
      </c>
      <c r="H17" s="235">
        <f t="shared" si="9"/>
        <v>1167.344</v>
      </c>
      <c r="I17" s="235">
        <f t="shared" si="9"/>
        <v>3235.6900000000005</v>
      </c>
      <c r="J17" s="235">
        <f t="shared" si="9"/>
        <v>2611</v>
      </c>
      <c r="K17" s="235">
        <f t="shared" si="9"/>
        <v>3401</v>
      </c>
      <c r="L17" s="235">
        <f t="shared" si="9"/>
        <v>6892</v>
      </c>
      <c r="M17" s="235">
        <f t="shared" si="9"/>
        <v>451</v>
      </c>
      <c r="N17" s="235">
        <f t="shared" si="9"/>
        <v>12272.966</v>
      </c>
      <c r="O17" s="235">
        <f t="shared" si="9"/>
        <v>300</v>
      </c>
    </row>
    <row r="18" spans="1:15" s="183" customFormat="1" ht="23.25" customHeight="1">
      <c r="A18" s="198"/>
      <c r="B18" s="233" t="s">
        <v>1028</v>
      </c>
      <c r="C18" s="198"/>
      <c r="D18" s="198"/>
      <c r="E18" s="234">
        <f t="shared" si="4"/>
        <v>7409.728999999999</v>
      </c>
      <c r="F18" s="235">
        <f>F93</f>
        <v>0</v>
      </c>
      <c r="G18" s="235">
        <f aca="true" t="shared" si="10" ref="G18:O18">G93</f>
        <v>0</v>
      </c>
      <c r="H18" s="235">
        <f t="shared" si="10"/>
        <v>1882.341</v>
      </c>
      <c r="I18" s="235">
        <f t="shared" si="10"/>
        <v>2100.982</v>
      </c>
      <c r="J18" s="235">
        <f t="shared" si="10"/>
        <v>0</v>
      </c>
      <c r="K18" s="235">
        <f t="shared" si="10"/>
        <v>3426.406</v>
      </c>
      <c r="L18" s="235">
        <f t="shared" si="10"/>
        <v>0</v>
      </c>
      <c r="M18" s="235">
        <f t="shared" si="10"/>
        <v>0</v>
      </c>
      <c r="N18" s="235">
        <f t="shared" si="10"/>
        <v>0</v>
      </c>
      <c r="O18" s="235">
        <f t="shared" si="10"/>
        <v>0</v>
      </c>
    </row>
    <row r="19" spans="1:15" s="183" customFormat="1" ht="24" customHeight="1">
      <c r="A19" s="198"/>
      <c r="B19" s="233"/>
      <c r="C19" s="198"/>
      <c r="D19" s="198"/>
      <c r="E19" s="234">
        <f aca="true" t="shared" si="11" ref="E19:O19">E11-E12</f>
        <v>102619</v>
      </c>
      <c r="F19" s="234">
        <f t="shared" si="11"/>
        <v>0</v>
      </c>
      <c r="G19" s="234">
        <f t="shared" si="11"/>
        <v>712</v>
      </c>
      <c r="H19" s="234">
        <f t="shared" si="11"/>
        <v>10171</v>
      </c>
      <c r="I19" s="234">
        <f t="shared" si="11"/>
        <v>10503</v>
      </c>
      <c r="J19" s="234">
        <f t="shared" si="11"/>
        <v>18184</v>
      </c>
      <c r="K19" s="234">
        <f t="shared" si="11"/>
        <v>15047</v>
      </c>
      <c r="L19" s="234">
        <f t="shared" si="11"/>
        <v>22198</v>
      </c>
      <c r="M19" s="234">
        <f t="shared" si="11"/>
        <v>9199</v>
      </c>
      <c r="N19" s="234">
        <f t="shared" si="11"/>
        <v>16605</v>
      </c>
      <c r="O19" s="234">
        <f t="shared" si="11"/>
        <v>0</v>
      </c>
    </row>
    <row r="20" spans="1:15" s="190" customFormat="1" ht="21" customHeight="1">
      <c r="A20" s="187"/>
      <c r="B20" s="192"/>
      <c r="C20" s="187"/>
      <c r="D20" s="187"/>
      <c r="E20" s="196">
        <f>SUM(F20:O20)</f>
        <v>0</v>
      </c>
      <c r="F20" s="202"/>
      <c r="G20" s="202"/>
      <c r="H20" s="202"/>
      <c r="I20" s="202"/>
      <c r="J20" s="202"/>
      <c r="K20" s="202"/>
      <c r="L20" s="202"/>
      <c r="M20" s="202"/>
      <c r="N20" s="202"/>
      <c r="O20" s="202"/>
    </row>
    <row r="21" spans="1:15" s="182" customFormat="1" ht="27" customHeight="1">
      <c r="A21" s="198">
        <v>1</v>
      </c>
      <c r="B21" s="199" t="s">
        <v>870</v>
      </c>
      <c r="C21" s="200">
        <v>3195</v>
      </c>
      <c r="D21" s="200"/>
      <c r="E21" s="196">
        <f aca="true" t="shared" si="12" ref="E21:E115">SUM(F21:O21)</f>
        <v>27090</v>
      </c>
      <c r="F21" s="201">
        <v>5984</v>
      </c>
      <c r="G21" s="201">
        <v>1814</v>
      </c>
      <c r="H21" s="201">
        <v>2324</v>
      </c>
      <c r="I21" s="201">
        <v>2036</v>
      </c>
      <c r="J21" s="201">
        <v>6840</v>
      </c>
      <c r="K21" s="201">
        <v>2004</v>
      </c>
      <c r="L21" s="201">
        <v>1548</v>
      </c>
      <c r="M21" s="201">
        <v>1648</v>
      </c>
      <c r="N21" s="201">
        <v>1892</v>
      </c>
      <c r="O21" s="201">
        <v>1000</v>
      </c>
    </row>
    <row r="22" spans="1:15" s="182" customFormat="1" ht="51.75" customHeight="1">
      <c r="A22" s="198">
        <f>A21+1</f>
        <v>2</v>
      </c>
      <c r="B22" s="203" t="s">
        <v>872</v>
      </c>
      <c r="C22" s="200">
        <v>609</v>
      </c>
      <c r="D22" s="200" t="s">
        <v>873</v>
      </c>
      <c r="E22" s="196">
        <f t="shared" si="12"/>
        <v>1209.1680000000001</v>
      </c>
      <c r="F22" s="201">
        <v>0</v>
      </c>
      <c r="G22" s="201">
        <v>0</v>
      </c>
      <c r="H22" s="201">
        <v>0</v>
      </c>
      <c r="I22" s="201">
        <v>0</v>
      </c>
      <c r="J22" s="201">
        <v>760.868</v>
      </c>
      <c r="K22" s="201">
        <v>448.3</v>
      </c>
      <c r="L22" s="201">
        <v>0</v>
      </c>
      <c r="M22" s="201">
        <v>0</v>
      </c>
      <c r="N22" s="201">
        <v>0</v>
      </c>
      <c r="O22" s="201">
        <v>0</v>
      </c>
    </row>
    <row r="23" spans="1:15" s="182" customFormat="1" ht="36.75" customHeight="1">
      <c r="A23" s="198">
        <f aca="true" t="shared" si="13" ref="A23:A78">A22+1</f>
        <v>3</v>
      </c>
      <c r="B23" s="203" t="s">
        <v>874</v>
      </c>
      <c r="C23" s="200">
        <v>413</v>
      </c>
      <c r="D23" s="200" t="s">
        <v>875</v>
      </c>
      <c r="E23" s="196">
        <f t="shared" si="12"/>
        <v>13449.540000000003</v>
      </c>
      <c r="F23" s="201">
        <v>0</v>
      </c>
      <c r="G23" s="201">
        <v>70.6</v>
      </c>
      <c r="H23" s="201">
        <v>2282.82</v>
      </c>
      <c r="I23" s="201">
        <v>2829.26</v>
      </c>
      <c r="J23" s="201">
        <v>2657.12</v>
      </c>
      <c r="K23" s="201">
        <v>2720.49</v>
      </c>
      <c r="L23" s="201">
        <v>2042.13</v>
      </c>
      <c r="M23" s="201">
        <v>406.25</v>
      </c>
      <c r="N23" s="201">
        <v>440.87</v>
      </c>
      <c r="O23" s="201">
        <v>0</v>
      </c>
    </row>
    <row r="24" spans="1:15" s="182" customFormat="1" ht="77.25" customHeight="1">
      <c r="A24" s="198">
        <f t="shared" si="13"/>
        <v>4</v>
      </c>
      <c r="B24" s="203" t="s">
        <v>876</v>
      </c>
      <c r="C24" s="200">
        <v>476</v>
      </c>
      <c r="D24" s="200" t="s">
        <v>877</v>
      </c>
      <c r="E24" s="196">
        <f t="shared" si="12"/>
        <v>1402.0059999999999</v>
      </c>
      <c r="F24" s="201">
        <v>4</v>
      </c>
      <c r="G24" s="201">
        <v>0</v>
      </c>
      <c r="H24" s="201">
        <f>(18294000+324006000)/1000000</f>
        <v>342.3</v>
      </c>
      <c r="I24" s="201">
        <v>790.3</v>
      </c>
      <c r="J24" s="201">
        <v>205.706</v>
      </c>
      <c r="K24" s="201">
        <v>59.7</v>
      </c>
      <c r="L24" s="201">
        <v>0</v>
      </c>
      <c r="M24" s="201">
        <v>0</v>
      </c>
      <c r="N24" s="201">
        <v>0</v>
      </c>
      <c r="O24" s="201">
        <v>0</v>
      </c>
    </row>
    <row r="25" spans="1:15" s="182" customFormat="1" ht="66" customHeight="1">
      <c r="A25" s="198">
        <f t="shared" si="13"/>
        <v>5</v>
      </c>
      <c r="B25" s="203" t="s">
        <v>878</v>
      </c>
      <c r="C25" s="200">
        <v>133</v>
      </c>
      <c r="D25" s="200" t="s">
        <v>879</v>
      </c>
      <c r="E25" s="196">
        <f t="shared" si="12"/>
        <v>4433.99</v>
      </c>
      <c r="F25" s="201">
        <v>0</v>
      </c>
      <c r="G25" s="201">
        <v>0</v>
      </c>
      <c r="H25" s="201">
        <v>0</v>
      </c>
      <c r="I25" s="201">
        <v>0</v>
      </c>
      <c r="J25" s="201">
        <v>0</v>
      </c>
      <c r="K25" s="201">
        <v>0</v>
      </c>
      <c r="L25" s="201">
        <v>4433.99</v>
      </c>
      <c r="M25" s="201">
        <v>0</v>
      </c>
      <c r="N25" s="201">
        <v>0</v>
      </c>
      <c r="O25" s="201">
        <v>0</v>
      </c>
    </row>
    <row r="26" spans="1:15" s="182" customFormat="1" ht="48.75" customHeight="1">
      <c r="A26" s="198">
        <f t="shared" si="13"/>
        <v>6</v>
      </c>
      <c r="B26" s="203" t="s">
        <v>880</v>
      </c>
      <c r="C26" s="200">
        <v>427</v>
      </c>
      <c r="D26" s="200" t="s">
        <v>881</v>
      </c>
      <c r="E26" s="196">
        <f t="shared" si="12"/>
        <v>22500</v>
      </c>
      <c r="F26" s="201">
        <v>3000</v>
      </c>
      <c r="G26" s="201">
        <v>0</v>
      </c>
      <c r="H26" s="201">
        <v>1000</v>
      </c>
      <c r="I26" s="201">
        <v>1500</v>
      </c>
      <c r="J26" s="201">
        <v>1500</v>
      </c>
      <c r="K26" s="201">
        <v>2000</v>
      </c>
      <c r="L26" s="201">
        <v>1000</v>
      </c>
      <c r="M26" s="201">
        <v>7500</v>
      </c>
      <c r="N26" s="201">
        <v>5000</v>
      </c>
      <c r="O26" s="201">
        <v>0</v>
      </c>
    </row>
    <row r="27" spans="1:15" s="208" customFormat="1" ht="48.75" customHeight="1">
      <c r="A27" s="204"/>
      <c r="B27" s="205" t="s">
        <v>882</v>
      </c>
      <c r="C27" s="206">
        <v>586</v>
      </c>
      <c r="D27" s="206" t="s">
        <v>883</v>
      </c>
      <c r="E27" s="207">
        <f t="shared" si="12"/>
        <v>367.48</v>
      </c>
      <c r="F27" s="201">
        <v>0</v>
      </c>
      <c r="G27" s="201">
        <v>0</v>
      </c>
      <c r="H27" s="201">
        <v>0</v>
      </c>
      <c r="I27" s="201">
        <v>0</v>
      </c>
      <c r="J27" s="201">
        <v>0</v>
      </c>
      <c r="K27" s="201">
        <v>0</v>
      </c>
      <c r="L27" s="201">
        <v>293.69</v>
      </c>
      <c r="M27" s="201">
        <v>0</v>
      </c>
      <c r="N27" s="201">
        <v>73.79</v>
      </c>
      <c r="O27" s="201">
        <v>0</v>
      </c>
    </row>
    <row r="28" spans="1:15" s="182" customFormat="1" ht="58.5" customHeight="1">
      <c r="A28" s="198">
        <f>A26+1</f>
        <v>7</v>
      </c>
      <c r="B28" s="203" t="s">
        <v>884</v>
      </c>
      <c r="C28" s="200">
        <v>654</v>
      </c>
      <c r="D28" s="200" t="s">
        <v>885</v>
      </c>
      <c r="E28" s="196">
        <f t="shared" si="12"/>
        <v>50</v>
      </c>
      <c r="F28" s="201">
        <v>0</v>
      </c>
      <c r="G28" s="201">
        <v>0</v>
      </c>
      <c r="H28" s="201">
        <v>0</v>
      </c>
      <c r="I28" s="201">
        <v>0</v>
      </c>
      <c r="J28" s="201">
        <v>0</v>
      </c>
      <c r="K28" s="201">
        <v>50</v>
      </c>
      <c r="L28" s="201">
        <v>0</v>
      </c>
      <c r="M28" s="201">
        <v>0</v>
      </c>
      <c r="N28" s="201">
        <v>0</v>
      </c>
      <c r="O28" s="201">
        <v>0</v>
      </c>
    </row>
    <row r="29" spans="1:15" s="182" customFormat="1" ht="43.5" customHeight="1">
      <c r="A29" s="198">
        <f t="shared" si="13"/>
        <v>8</v>
      </c>
      <c r="B29" s="203" t="s">
        <v>886</v>
      </c>
      <c r="C29" s="200">
        <v>668</v>
      </c>
      <c r="D29" s="200" t="s">
        <v>887</v>
      </c>
      <c r="E29" s="196">
        <f t="shared" si="12"/>
        <v>15087.736</v>
      </c>
      <c r="F29" s="201">
        <v>622.084</v>
      </c>
      <c r="G29" s="201">
        <v>0</v>
      </c>
      <c r="H29" s="201">
        <v>7329.237</v>
      </c>
      <c r="I29" s="201">
        <v>1005.542</v>
      </c>
      <c r="J29" s="201">
        <v>2825.742</v>
      </c>
      <c r="K29" s="201">
        <v>727.814</v>
      </c>
      <c r="L29" s="201">
        <v>1274.812</v>
      </c>
      <c r="M29" s="201">
        <v>613.68</v>
      </c>
      <c r="N29" s="201">
        <v>688.825</v>
      </c>
      <c r="O29" s="201">
        <v>0</v>
      </c>
    </row>
    <row r="30" spans="1:15" s="182" customFormat="1" ht="69.75" customHeight="1">
      <c r="A30" s="198">
        <f t="shared" si="13"/>
        <v>9</v>
      </c>
      <c r="B30" s="203" t="s">
        <v>888</v>
      </c>
      <c r="C30" s="200">
        <v>740</v>
      </c>
      <c r="D30" s="209" t="s">
        <v>889</v>
      </c>
      <c r="E30" s="196">
        <f t="shared" si="12"/>
        <v>200</v>
      </c>
      <c r="F30" s="201">
        <v>0</v>
      </c>
      <c r="G30" s="201">
        <v>0</v>
      </c>
      <c r="H30" s="201">
        <v>0</v>
      </c>
      <c r="I30" s="201">
        <v>0</v>
      </c>
      <c r="J30" s="201">
        <v>0</v>
      </c>
      <c r="K30" s="201">
        <v>0</v>
      </c>
      <c r="L30" s="201">
        <v>0</v>
      </c>
      <c r="M30" s="201">
        <v>0</v>
      </c>
      <c r="N30" s="201">
        <v>200</v>
      </c>
      <c r="O30" s="201">
        <v>0</v>
      </c>
    </row>
    <row r="31" spans="1:15" s="182" customFormat="1" ht="61.5" customHeight="1">
      <c r="A31" s="198">
        <f t="shared" si="13"/>
        <v>10</v>
      </c>
      <c r="B31" s="203" t="s">
        <v>890</v>
      </c>
      <c r="C31" s="200">
        <v>648</v>
      </c>
      <c r="D31" s="200" t="s">
        <v>891</v>
      </c>
      <c r="E31" s="196">
        <f t="shared" si="12"/>
        <v>14755.05</v>
      </c>
      <c r="F31" s="201">
        <v>0</v>
      </c>
      <c r="G31" s="201">
        <v>300</v>
      </c>
      <c r="H31" s="201">
        <v>2216</v>
      </c>
      <c r="I31" s="201">
        <v>3136</v>
      </c>
      <c r="J31" s="201">
        <v>4704</v>
      </c>
      <c r="K31" s="201">
        <v>2281</v>
      </c>
      <c r="L31" s="201">
        <v>0</v>
      </c>
      <c r="M31" s="201">
        <v>2118.05</v>
      </c>
      <c r="N31" s="201">
        <v>0</v>
      </c>
      <c r="O31" s="201">
        <v>0</v>
      </c>
    </row>
    <row r="32" spans="1:15" s="182" customFormat="1" ht="54.75" customHeight="1">
      <c r="A32" s="198">
        <f t="shared" si="13"/>
        <v>11</v>
      </c>
      <c r="B32" s="203" t="s">
        <v>890</v>
      </c>
      <c r="C32" s="200">
        <v>648</v>
      </c>
      <c r="D32" s="200" t="s">
        <v>892</v>
      </c>
      <c r="E32" s="196">
        <f t="shared" si="12"/>
        <v>76000</v>
      </c>
      <c r="F32" s="201">
        <v>0</v>
      </c>
      <c r="G32" s="201">
        <v>282</v>
      </c>
      <c r="H32" s="201">
        <v>8178</v>
      </c>
      <c r="I32" s="201">
        <v>8460</v>
      </c>
      <c r="J32" s="201">
        <v>9312</v>
      </c>
      <c r="K32" s="201">
        <v>11562</v>
      </c>
      <c r="L32" s="201">
        <v>19740</v>
      </c>
      <c r="M32" s="201">
        <v>3802</v>
      </c>
      <c r="N32" s="201">
        <v>14664</v>
      </c>
      <c r="O32" s="201">
        <v>0</v>
      </c>
    </row>
    <row r="33" spans="1:15" s="182" customFormat="1" ht="61.5" customHeight="1">
      <c r="A33" s="198">
        <f t="shared" si="13"/>
        <v>12</v>
      </c>
      <c r="B33" s="203" t="s">
        <v>890</v>
      </c>
      <c r="C33" s="200">
        <v>648</v>
      </c>
      <c r="D33" s="200" t="s">
        <v>893</v>
      </c>
      <c r="E33" s="196">
        <f t="shared" si="12"/>
        <v>2500</v>
      </c>
      <c r="F33" s="201">
        <v>0</v>
      </c>
      <c r="G33" s="201">
        <v>160</v>
      </c>
      <c r="H33" s="201">
        <v>370</v>
      </c>
      <c r="I33" s="201">
        <v>320</v>
      </c>
      <c r="J33" s="201">
        <v>320</v>
      </c>
      <c r="K33" s="201">
        <v>300</v>
      </c>
      <c r="L33" s="201">
        <v>370</v>
      </c>
      <c r="M33" s="201">
        <v>340</v>
      </c>
      <c r="N33" s="201">
        <v>320</v>
      </c>
      <c r="O33" s="201">
        <v>0</v>
      </c>
    </row>
    <row r="34" spans="1:15" s="182" customFormat="1" ht="62.25" customHeight="1">
      <c r="A34" s="198">
        <f t="shared" si="13"/>
        <v>13</v>
      </c>
      <c r="B34" s="203" t="s">
        <v>890</v>
      </c>
      <c r="C34" s="200">
        <v>648</v>
      </c>
      <c r="D34" s="200" t="s">
        <v>894</v>
      </c>
      <c r="E34" s="196">
        <f t="shared" si="12"/>
        <v>2500</v>
      </c>
      <c r="F34" s="201">
        <v>0</v>
      </c>
      <c r="G34" s="201">
        <v>50</v>
      </c>
      <c r="H34" s="201">
        <v>350</v>
      </c>
      <c r="I34" s="201">
        <v>350</v>
      </c>
      <c r="J34" s="201">
        <v>350</v>
      </c>
      <c r="K34" s="201">
        <v>300</v>
      </c>
      <c r="L34" s="201">
        <v>450</v>
      </c>
      <c r="M34" s="201">
        <v>250</v>
      </c>
      <c r="N34" s="201">
        <v>400</v>
      </c>
      <c r="O34" s="201">
        <v>0</v>
      </c>
    </row>
    <row r="35" spans="1:15" s="182" customFormat="1" ht="66" customHeight="1">
      <c r="A35" s="198">
        <f t="shared" si="13"/>
        <v>14</v>
      </c>
      <c r="B35" s="203" t="s">
        <v>890</v>
      </c>
      <c r="C35" s="200">
        <v>648</v>
      </c>
      <c r="D35" s="200" t="s">
        <v>895</v>
      </c>
      <c r="E35" s="196">
        <f t="shared" si="12"/>
        <v>1000</v>
      </c>
      <c r="F35" s="201">
        <v>0</v>
      </c>
      <c r="G35" s="201">
        <v>0</v>
      </c>
      <c r="H35" s="201">
        <v>0</v>
      </c>
      <c r="I35" s="201">
        <v>0</v>
      </c>
      <c r="J35" s="201">
        <v>0</v>
      </c>
      <c r="K35" s="201">
        <v>0</v>
      </c>
      <c r="L35" s="201">
        <v>500</v>
      </c>
      <c r="M35" s="201">
        <v>0</v>
      </c>
      <c r="N35" s="201">
        <v>500</v>
      </c>
      <c r="O35" s="201">
        <v>0</v>
      </c>
    </row>
    <row r="36" spans="1:15" s="182" customFormat="1" ht="55.5" customHeight="1">
      <c r="A36" s="198">
        <f t="shared" si="13"/>
        <v>15</v>
      </c>
      <c r="B36" s="203" t="s">
        <v>890</v>
      </c>
      <c r="C36" s="200">
        <v>648</v>
      </c>
      <c r="D36" s="200" t="s">
        <v>896</v>
      </c>
      <c r="E36" s="196">
        <f t="shared" si="12"/>
        <v>4625</v>
      </c>
      <c r="F36" s="201">
        <v>0</v>
      </c>
      <c r="G36" s="201">
        <v>0</v>
      </c>
      <c r="H36" s="201">
        <v>0</v>
      </c>
      <c r="I36" s="201">
        <v>0</v>
      </c>
      <c r="J36" s="201">
        <v>950</v>
      </c>
      <c r="K36" s="201">
        <v>950</v>
      </c>
      <c r="L36" s="201">
        <v>0</v>
      </c>
      <c r="M36" s="201">
        <v>2725</v>
      </c>
      <c r="N36" s="201">
        <v>0</v>
      </c>
      <c r="O36" s="201">
        <v>0</v>
      </c>
    </row>
    <row r="37" spans="1:15" s="182" customFormat="1" ht="73.5" customHeight="1">
      <c r="A37" s="198">
        <f t="shared" si="13"/>
        <v>16</v>
      </c>
      <c r="B37" s="203" t="s">
        <v>890</v>
      </c>
      <c r="C37" s="200">
        <v>648</v>
      </c>
      <c r="D37" s="200" t="s">
        <v>897</v>
      </c>
      <c r="E37" s="196">
        <f t="shared" si="12"/>
        <v>1334</v>
      </c>
      <c r="F37" s="201">
        <v>0</v>
      </c>
      <c r="G37" s="201">
        <v>55</v>
      </c>
      <c r="H37" s="201">
        <v>196</v>
      </c>
      <c r="I37" s="201">
        <v>163</v>
      </c>
      <c r="J37" s="201">
        <v>255</v>
      </c>
      <c r="K37" s="201">
        <v>195</v>
      </c>
      <c r="L37" s="201">
        <v>171</v>
      </c>
      <c r="M37" s="201">
        <v>185</v>
      </c>
      <c r="N37" s="201">
        <v>114</v>
      </c>
      <c r="O37" s="201">
        <v>0</v>
      </c>
    </row>
    <row r="38" spans="1:15" s="182" customFormat="1" ht="48" customHeight="1">
      <c r="A38" s="198"/>
      <c r="B38" s="203" t="s">
        <v>890</v>
      </c>
      <c r="C38" s="200">
        <v>648</v>
      </c>
      <c r="D38" s="200" t="s">
        <v>898</v>
      </c>
      <c r="E38" s="196">
        <f t="shared" si="12"/>
        <v>1755</v>
      </c>
      <c r="F38" s="201">
        <v>0</v>
      </c>
      <c r="G38" s="201">
        <v>15</v>
      </c>
      <c r="H38" s="201">
        <v>285</v>
      </c>
      <c r="I38" s="201">
        <v>270</v>
      </c>
      <c r="J38" s="201">
        <v>285</v>
      </c>
      <c r="K38" s="201">
        <v>285</v>
      </c>
      <c r="L38" s="201">
        <v>300</v>
      </c>
      <c r="M38" s="201">
        <v>120</v>
      </c>
      <c r="N38" s="201">
        <v>195</v>
      </c>
      <c r="O38" s="201">
        <v>0</v>
      </c>
    </row>
    <row r="39" spans="1:15" s="182" customFormat="1" ht="108.75" customHeight="1">
      <c r="A39" s="198"/>
      <c r="B39" s="203" t="s">
        <v>899</v>
      </c>
      <c r="C39" s="200">
        <v>2174</v>
      </c>
      <c r="D39" s="200" t="s">
        <v>900</v>
      </c>
      <c r="E39" s="196">
        <f t="shared" si="12"/>
        <v>3980</v>
      </c>
      <c r="F39" s="201">
        <v>0</v>
      </c>
      <c r="G39" s="201">
        <v>0</v>
      </c>
      <c r="H39" s="201">
        <v>0</v>
      </c>
      <c r="I39" s="201">
        <v>0</v>
      </c>
      <c r="J39" s="201">
        <v>1846</v>
      </c>
      <c r="K39" s="201">
        <v>980</v>
      </c>
      <c r="L39" s="201">
        <v>0</v>
      </c>
      <c r="M39" s="201">
        <v>1154</v>
      </c>
      <c r="N39" s="201">
        <v>0</v>
      </c>
      <c r="O39" s="201">
        <v>0</v>
      </c>
    </row>
    <row r="40" spans="1:15" s="182" customFormat="1" ht="73.5" customHeight="1">
      <c r="A40" s="198"/>
      <c r="B40" s="203" t="s">
        <v>901</v>
      </c>
      <c r="C40" s="200">
        <v>2174</v>
      </c>
      <c r="D40" s="200" t="s">
        <v>902</v>
      </c>
      <c r="E40" s="196">
        <f t="shared" si="12"/>
        <v>300</v>
      </c>
      <c r="F40" s="201">
        <v>0</v>
      </c>
      <c r="G40" s="201">
        <v>0</v>
      </c>
      <c r="H40" s="201">
        <v>0</v>
      </c>
      <c r="I40" s="201">
        <v>150</v>
      </c>
      <c r="J40" s="201">
        <v>150</v>
      </c>
      <c r="K40" s="201">
        <v>0</v>
      </c>
      <c r="L40" s="201">
        <v>0</v>
      </c>
      <c r="M40" s="201">
        <v>0</v>
      </c>
      <c r="N40" s="201">
        <v>0</v>
      </c>
      <c r="O40" s="201">
        <v>0</v>
      </c>
    </row>
    <row r="41" spans="1:15" s="182" customFormat="1" ht="73.5" customHeight="1">
      <c r="A41" s="198"/>
      <c r="B41" s="203" t="s">
        <v>903</v>
      </c>
      <c r="C41" s="200">
        <v>2780</v>
      </c>
      <c r="D41" s="200" t="s">
        <v>904</v>
      </c>
      <c r="E41" s="196">
        <f t="shared" si="12"/>
        <v>1544.95</v>
      </c>
      <c r="F41" s="201">
        <v>0</v>
      </c>
      <c r="G41" s="201">
        <v>0</v>
      </c>
      <c r="H41" s="201">
        <v>616</v>
      </c>
      <c r="I41" s="201">
        <v>0</v>
      </c>
      <c r="J41" s="201">
        <v>312.95</v>
      </c>
      <c r="K41" s="201">
        <v>308</v>
      </c>
      <c r="L41" s="201">
        <v>308</v>
      </c>
      <c r="M41" s="201">
        <v>0</v>
      </c>
      <c r="N41" s="201">
        <v>0</v>
      </c>
      <c r="O41" s="201">
        <v>0</v>
      </c>
    </row>
    <row r="42" spans="1:15" s="182" customFormat="1" ht="48" customHeight="1">
      <c r="A42" s="198">
        <f>A37+1</f>
        <v>17</v>
      </c>
      <c r="B42" s="203" t="s">
        <v>905</v>
      </c>
      <c r="C42" s="200">
        <v>948</v>
      </c>
      <c r="D42" s="200" t="s">
        <v>906</v>
      </c>
      <c r="E42" s="196">
        <f t="shared" si="12"/>
        <v>1852.121</v>
      </c>
      <c r="F42" s="201">
        <v>74.985</v>
      </c>
      <c r="G42" s="201">
        <v>21.809</v>
      </c>
      <c r="H42" s="201">
        <v>505.668</v>
      </c>
      <c r="I42" s="201">
        <v>402.737</v>
      </c>
      <c r="J42" s="201">
        <v>276.463</v>
      </c>
      <c r="K42" s="201">
        <v>314.85</v>
      </c>
      <c r="L42" s="201">
        <v>81.03</v>
      </c>
      <c r="M42" s="201">
        <v>101.999</v>
      </c>
      <c r="N42" s="201">
        <v>72.58</v>
      </c>
      <c r="O42" s="201">
        <v>0</v>
      </c>
    </row>
    <row r="43" spans="1:15" s="182" customFormat="1" ht="73.5" customHeight="1">
      <c r="A43" s="198">
        <f t="shared" si="13"/>
        <v>18</v>
      </c>
      <c r="B43" s="203" t="s">
        <v>907</v>
      </c>
      <c r="C43" s="200">
        <v>127</v>
      </c>
      <c r="D43" s="200" t="s">
        <v>908</v>
      </c>
      <c r="E43" s="196">
        <f t="shared" si="12"/>
        <v>400</v>
      </c>
      <c r="F43" s="201">
        <v>0</v>
      </c>
      <c r="G43" s="201">
        <v>0</v>
      </c>
      <c r="H43" s="201">
        <v>0</v>
      </c>
      <c r="I43" s="201">
        <v>400</v>
      </c>
      <c r="J43" s="201">
        <v>0</v>
      </c>
      <c r="K43" s="201">
        <v>0</v>
      </c>
      <c r="L43" s="201">
        <v>0</v>
      </c>
      <c r="M43" s="201">
        <v>0</v>
      </c>
      <c r="N43" s="201">
        <v>0</v>
      </c>
      <c r="O43" s="201">
        <v>0</v>
      </c>
    </row>
    <row r="44" spans="1:15" s="182" customFormat="1" ht="73.5" customHeight="1">
      <c r="A44" s="198">
        <f t="shared" si="13"/>
        <v>19</v>
      </c>
      <c r="B44" s="203" t="s">
        <v>909</v>
      </c>
      <c r="C44" s="200">
        <v>1171</v>
      </c>
      <c r="D44" s="200" t="s">
        <v>910</v>
      </c>
      <c r="E44" s="196">
        <f t="shared" si="12"/>
        <v>330</v>
      </c>
      <c r="F44" s="201">
        <v>0</v>
      </c>
      <c r="G44" s="201">
        <v>0</v>
      </c>
      <c r="H44" s="201">
        <v>0</v>
      </c>
      <c r="I44" s="201">
        <v>0</v>
      </c>
      <c r="J44" s="201">
        <v>0</v>
      </c>
      <c r="K44" s="201">
        <v>0</v>
      </c>
      <c r="L44" s="201">
        <v>0</v>
      </c>
      <c r="M44" s="201">
        <v>0</v>
      </c>
      <c r="N44" s="201">
        <v>330</v>
      </c>
      <c r="O44" s="201">
        <v>0</v>
      </c>
    </row>
    <row r="45" spans="1:15" s="182" customFormat="1" ht="73.5" customHeight="1">
      <c r="A45" s="198">
        <f t="shared" si="13"/>
        <v>20</v>
      </c>
      <c r="B45" s="203" t="s">
        <v>911</v>
      </c>
      <c r="C45" s="200">
        <v>1244</v>
      </c>
      <c r="D45" s="200" t="s">
        <v>912</v>
      </c>
      <c r="E45" s="196">
        <f t="shared" si="12"/>
        <v>200</v>
      </c>
      <c r="F45" s="201">
        <v>0</v>
      </c>
      <c r="G45" s="201">
        <v>200</v>
      </c>
      <c r="H45" s="201">
        <v>0</v>
      </c>
      <c r="I45" s="201">
        <v>0</v>
      </c>
      <c r="J45" s="201">
        <v>0</v>
      </c>
      <c r="K45" s="201">
        <v>0</v>
      </c>
      <c r="L45" s="201">
        <v>0</v>
      </c>
      <c r="M45" s="201">
        <v>0</v>
      </c>
      <c r="N45" s="201">
        <v>0</v>
      </c>
      <c r="O45" s="201">
        <v>0</v>
      </c>
    </row>
    <row r="46" spans="1:15" s="182" customFormat="1" ht="73.5" customHeight="1">
      <c r="A46" s="198">
        <f t="shared" si="13"/>
        <v>21</v>
      </c>
      <c r="B46" s="203" t="s">
        <v>913</v>
      </c>
      <c r="C46" s="200">
        <v>484</v>
      </c>
      <c r="D46" s="200" t="s">
        <v>914</v>
      </c>
      <c r="E46" s="196">
        <f t="shared" si="12"/>
        <v>3467</v>
      </c>
      <c r="F46" s="201">
        <v>0</v>
      </c>
      <c r="G46" s="201">
        <v>0</v>
      </c>
      <c r="H46" s="201">
        <v>200</v>
      </c>
      <c r="I46" s="201">
        <v>300</v>
      </c>
      <c r="J46" s="201">
        <v>200</v>
      </c>
      <c r="K46" s="201">
        <v>300</v>
      </c>
      <c r="L46" s="201">
        <v>0</v>
      </c>
      <c r="M46" s="201">
        <v>0</v>
      </c>
      <c r="N46" s="201">
        <v>2467</v>
      </c>
      <c r="O46" s="201">
        <v>0</v>
      </c>
    </row>
    <row r="47" spans="1:15" s="182" customFormat="1" ht="73.5" customHeight="1">
      <c r="A47" s="198">
        <f t="shared" si="13"/>
        <v>22</v>
      </c>
      <c r="B47" s="203" t="s">
        <v>913</v>
      </c>
      <c r="C47" s="200">
        <v>484</v>
      </c>
      <c r="D47" s="200" t="s">
        <v>915</v>
      </c>
      <c r="E47" s="196">
        <f t="shared" si="12"/>
        <v>3860</v>
      </c>
      <c r="F47" s="201">
        <v>0</v>
      </c>
      <c r="G47" s="201">
        <v>0</v>
      </c>
      <c r="H47" s="201">
        <v>0</v>
      </c>
      <c r="I47" s="201">
        <v>0</v>
      </c>
      <c r="J47" s="201">
        <v>440</v>
      </c>
      <c r="K47" s="201">
        <v>220</v>
      </c>
      <c r="L47" s="201">
        <v>2000</v>
      </c>
      <c r="M47" s="201">
        <v>0</v>
      </c>
      <c r="N47" s="201">
        <v>1200</v>
      </c>
      <c r="O47" s="201">
        <v>0</v>
      </c>
    </row>
    <row r="48" spans="1:15" s="182" customFormat="1" ht="73.5" customHeight="1">
      <c r="A48" s="198">
        <f t="shared" si="13"/>
        <v>23</v>
      </c>
      <c r="B48" s="203" t="s">
        <v>913</v>
      </c>
      <c r="C48" s="200">
        <v>484</v>
      </c>
      <c r="D48" s="200" t="s">
        <v>916</v>
      </c>
      <c r="E48" s="196">
        <f t="shared" si="12"/>
        <v>3300</v>
      </c>
      <c r="F48" s="201">
        <v>0</v>
      </c>
      <c r="G48" s="201">
        <v>0</v>
      </c>
      <c r="H48" s="201">
        <v>600</v>
      </c>
      <c r="I48" s="201">
        <v>900</v>
      </c>
      <c r="J48" s="201">
        <v>600</v>
      </c>
      <c r="K48" s="201">
        <v>900</v>
      </c>
      <c r="L48" s="201">
        <v>0</v>
      </c>
      <c r="M48" s="201">
        <v>0</v>
      </c>
      <c r="N48" s="201">
        <v>300</v>
      </c>
      <c r="O48" s="201">
        <v>0</v>
      </c>
    </row>
    <row r="49" spans="1:15" s="182" customFormat="1" ht="73.5" customHeight="1">
      <c r="A49" s="198">
        <f t="shared" si="13"/>
        <v>24</v>
      </c>
      <c r="B49" s="203" t="s">
        <v>913</v>
      </c>
      <c r="C49" s="200">
        <v>484</v>
      </c>
      <c r="D49" s="200" t="s">
        <v>917</v>
      </c>
      <c r="E49" s="196">
        <f t="shared" si="12"/>
        <v>710</v>
      </c>
      <c r="F49" s="201">
        <v>0</v>
      </c>
      <c r="G49" s="201">
        <v>0</v>
      </c>
      <c r="H49" s="201">
        <v>0</v>
      </c>
      <c r="I49" s="201">
        <v>0</v>
      </c>
      <c r="J49" s="201">
        <v>0</v>
      </c>
      <c r="K49" s="201">
        <v>0</v>
      </c>
      <c r="L49" s="201">
        <v>710</v>
      </c>
      <c r="M49" s="201">
        <v>0</v>
      </c>
      <c r="N49" s="201">
        <v>0</v>
      </c>
      <c r="O49" s="201">
        <v>0</v>
      </c>
    </row>
    <row r="50" spans="1:15" s="182" customFormat="1" ht="73.5" customHeight="1">
      <c r="A50" s="198">
        <f t="shared" si="13"/>
        <v>25</v>
      </c>
      <c r="B50" s="203" t="s">
        <v>918</v>
      </c>
      <c r="C50" s="200">
        <v>1164</v>
      </c>
      <c r="D50" s="200" t="s">
        <v>919</v>
      </c>
      <c r="E50" s="196">
        <f t="shared" si="12"/>
        <v>34170</v>
      </c>
      <c r="F50" s="201">
        <v>0</v>
      </c>
      <c r="G50" s="201">
        <v>0</v>
      </c>
      <c r="H50" s="201">
        <v>2000</v>
      </c>
      <c r="I50" s="201">
        <v>4000</v>
      </c>
      <c r="J50" s="201">
        <v>2000</v>
      </c>
      <c r="K50" s="201">
        <v>4000</v>
      </c>
      <c r="L50" s="201">
        <v>0</v>
      </c>
      <c r="M50" s="201">
        <v>0</v>
      </c>
      <c r="N50" s="201">
        <v>21170</v>
      </c>
      <c r="O50" s="201">
        <v>1000</v>
      </c>
    </row>
    <row r="51" spans="1:15" s="182" customFormat="1" ht="73.5" customHeight="1">
      <c r="A51" s="198">
        <f t="shared" si="13"/>
        <v>26</v>
      </c>
      <c r="B51" s="203" t="s">
        <v>918</v>
      </c>
      <c r="C51" s="200">
        <v>1164</v>
      </c>
      <c r="D51" s="200" t="s">
        <v>920</v>
      </c>
      <c r="E51" s="196">
        <f t="shared" si="12"/>
        <v>24860</v>
      </c>
      <c r="F51" s="201">
        <v>0</v>
      </c>
      <c r="G51" s="201">
        <v>0</v>
      </c>
      <c r="H51" s="201">
        <v>0</v>
      </c>
      <c r="I51" s="201">
        <v>0</v>
      </c>
      <c r="J51" s="201">
        <v>2400</v>
      </c>
      <c r="K51" s="201">
        <v>1700</v>
      </c>
      <c r="L51" s="201">
        <v>12632</v>
      </c>
      <c r="M51" s="201">
        <v>200</v>
      </c>
      <c r="N51" s="201">
        <f>(6728000000+1200000000)/1000000</f>
        <v>7928</v>
      </c>
      <c r="O51" s="201">
        <v>0</v>
      </c>
    </row>
    <row r="52" spans="1:15" s="182" customFormat="1" ht="73.5" customHeight="1">
      <c r="A52" s="198">
        <f t="shared" si="13"/>
        <v>27</v>
      </c>
      <c r="B52" s="203" t="s">
        <v>918</v>
      </c>
      <c r="C52" s="200">
        <v>1164</v>
      </c>
      <c r="D52" s="200" t="s">
        <v>921</v>
      </c>
      <c r="E52" s="196">
        <f t="shared" si="12"/>
        <v>12889</v>
      </c>
      <c r="F52" s="201">
        <v>0</v>
      </c>
      <c r="G52" s="201">
        <v>0</v>
      </c>
      <c r="H52" s="201">
        <v>700</v>
      </c>
      <c r="I52" s="201">
        <v>1400</v>
      </c>
      <c r="J52" s="201">
        <v>700</v>
      </c>
      <c r="K52" s="201">
        <v>1400</v>
      </c>
      <c r="L52" s="201">
        <v>0</v>
      </c>
      <c r="M52" s="201">
        <v>0</v>
      </c>
      <c r="N52" s="201">
        <v>8389</v>
      </c>
      <c r="O52" s="201">
        <v>300</v>
      </c>
    </row>
    <row r="53" spans="1:15" s="182" customFormat="1" ht="73.5" customHeight="1">
      <c r="A53" s="198">
        <f t="shared" si="13"/>
        <v>28</v>
      </c>
      <c r="B53" s="203" t="s">
        <v>918</v>
      </c>
      <c r="C53" s="200">
        <v>1164</v>
      </c>
      <c r="D53" s="200" t="s">
        <v>922</v>
      </c>
      <c r="E53" s="196">
        <f t="shared" si="12"/>
        <v>8880</v>
      </c>
      <c r="F53" s="201">
        <v>0</v>
      </c>
      <c r="G53" s="201">
        <v>0</v>
      </c>
      <c r="H53" s="201">
        <v>0</v>
      </c>
      <c r="I53" s="201">
        <v>0</v>
      </c>
      <c r="J53" s="201">
        <v>780</v>
      </c>
      <c r="K53" s="201">
        <v>600</v>
      </c>
      <c r="L53" s="201">
        <v>4490</v>
      </c>
      <c r="M53" s="201">
        <v>50</v>
      </c>
      <c r="N53" s="201">
        <v>2960</v>
      </c>
      <c r="O53" s="201">
        <v>0</v>
      </c>
    </row>
    <row r="54" spans="1:15" s="182" customFormat="1" ht="73.5" customHeight="1">
      <c r="A54" s="198">
        <f t="shared" si="13"/>
        <v>29</v>
      </c>
      <c r="B54" s="203" t="s">
        <v>918</v>
      </c>
      <c r="C54" s="200">
        <v>1164</v>
      </c>
      <c r="D54" s="200" t="s">
        <v>923</v>
      </c>
      <c r="E54" s="196">
        <f t="shared" si="12"/>
        <v>1560</v>
      </c>
      <c r="F54" s="201">
        <v>0</v>
      </c>
      <c r="G54" s="201">
        <v>60</v>
      </c>
      <c r="H54" s="201">
        <v>300</v>
      </c>
      <c r="I54" s="201">
        <v>300</v>
      </c>
      <c r="J54" s="201">
        <v>300</v>
      </c>
      <c r="K54" s="201">
        <v>300</v>
      </c>
      <c r="L54" s="201">
        <v>0</v>
      </c>
      <c r="M54" s="201">
        <v>300</v>
      </c>
      <c r="N54" s="201">
        <v>0</v>
      </c>
      <c r="O54" s="201">
        <v>0</v>
      </c>
    </row>
    <row r="55" spans="1:15" s="182" customFormat="1" ht="73.5" customHeight="1">
      <c r="A55" s="198">
        <f t="shared" si="13"/>
        <v>30</v>
      </c>
      <c r="B55" s="203" t="s">
        <v>918</v>
      </c>
      <c r="C55" s="200">
        <v>1164</v>
      </c>
      <c r="D55" s="200" t="s">
        <v>924</v>
      </c>
      <c r="E55" s="196">
        <f t="shared" si="12"/>
        <v>56</v>
      </c>
      <c r="F55" s="201">
        <v>0</v>
      </c>
      <c r="G55" s="201">
        <v>6</v>
      </c>
      <c r="H55" s="201">
        <v>6</v>
      </c>
      <c r="I55" s="201">
        <v>6</v>
      </c>
      <c r="J55" s="201">
        <v>6</v>
      </c>
      <c r="K55" s="201">
        <v>6</v>
      </c>
      <c r="L55" s="201">
        <v>10</v>
      </c>
      <c r="M55" s="201">
        <v>6</v>
      </c>
      <c r="N55" s="201">
        <v>10</v>
      </c>
      <c r="O55" s="201">
        <v>0</v>
      </c>
    </row>
    <row r="56" spans="1:15" s="182" customFormat="1" ht="73.5" customHeight="1">
      <c r="A56" s="198">
        <f t="shared" si="13"/>
        <v>31</v>
      </c>
      <c r="B56" s="203" t="s">
        <v>918</v>
      </c>
      <c r="C56" s="200">
        <v>1164</v>
      </c>
      <c r="D56" s="200" t="s">
        <v>925</v>
      </c>
      <c r="E56" s="196">
        <f t="shared" si="12"/>
        <v>140</v>
      </c>
      <c r="F56" s="201">
        <v>15</v>
      </c>
      <c r="G56" s="201">
        <v>10</v>
      </c>
      <c r="H56" s="201">
        <v>15</v>
      </c>
      <c r="I56" s="201">
        <v>15</v>
      </c>
      <c r="J56" s="201">
        <v>15</v>
      </c>
      <c r="K56" s="201">
        <v>15</v>
      </c>
      <c r="L56" s="201">
        <v>20</v>
      </c>
      <c r="M56" s="201">
        <v>15</v>
      </c>
      <c r="N56" s="201">
        <v>20</v>
      </c>
      <c r="O56" s="201">
        <v>0</v>
      </c>
    </row>
    <row r="57" spans="1:15" s="182" customFormat="1" ht="73.5" customHeight="1">
      <c r="A57" s="198">
        <v>32</v>
      </c>
      <c r="B57" s="203" t="s">
        <v>926</v>
      </c>
      <c r="C57" s="200">
        <v>2612</v>
      </c>
      <c r="D57" s="210" t="s">
        <v>927</v>
      </c>
      <c r="E57" s="196">
        <f t="shared" si="12"/>
        <v>2487</v>
      </c>
      <c r="F57" s="201">
        <v>0</v>
      </c>
      <c r="G57" s="201">
        <v>0</v>
      </c>
      <c r="H57" s="201">
        <v>0</v>
      </c>
      <c r="I57" s="201">
        <v>0</v>
      </c>
      <c r="J57" s="201">
        <v>130</v>
      </c>
      <c r="K57" s="201">
        <v>100</v>
      </c>
      <c r="L57" s="201">
        <v>1662</v>
      </c>
      <c r="M57" s="201">
        <v>0</v>
      </c>
      <c r="N57" s="201">
        <v>595</v>
      </c>
      <c r="O57" s="201">
        <v>0</v>
      </c>
    </row>
    <row r="58" spans="1:15" s="182" customFormat="1" ht="73.5" customHeight="1">
      <c r="A58" s="198"/>
      <c r="B58" s="203" t="s">
        <v>926</v>
      </c>
      <c r="C58" s="200">
        <v>2612</v>
      </c>
      <c r="D58" s="210" t="s">
        <v>928</v>
      </c>
      <c r="E58" s="196">
        <f t="shared" si="12"/>
        <v>420</v>
      </c>
      <c r="F58" s="201">
        <v>0</v>
      </c>
      <c r="G58" s="201">
        <v>20</v>
      </c>
      <c r="H58" s="201">
        <v>80</v>
      </c>
      <c r="I58" s="201">
        <v>80</v>
      </c>
      <c r="J58" s="201">
        <v>80</v>
      </c>
      <c r="K58" s="201">
        <v>80</v>
      </c>
      <c r="L58" s="201">
        <v>0</v>
      </c>
      <c r="M58" s="201">
        <v>80</v>
      </c>
      <c r="N58" s="201">
        <v>0</v>
      </c>
      <c r="O58" s="201">
        <v>0</v>
      </c>
    </row>
    <row r="59" spans="1:15" s="182" customFormat="1" ht="73.5" customHeight="1">
      <c r="A59" s="198"/>
      <c r="B59" s="203" t="s">
        <v>926</v>
      </c>
      <c r="C59" s="200">
        <v>2612</v>
      </c>
      <c r="D59" s="210" t="s">
        <v>929</v>
      </c>
      <c r="E59" s="196">
        <f t="shared" si="12"/>
        <v>7020</v>
      </c>
      <c r="F59" s="201">
        <v>0</v>
      </c>
      <c r="G59" s="201">
        <v>0</v>
      </c>
      <c r="H59" s="201">
        <v>0</v>
      </c>
      <c r="I59" s="201">
        <v>0</v>
      </c>
      <c r="J59" s="201">
        <v>0</v>
      </c>
      <c r="K59" s="201">
        <v>0</v>
      </c>
      <c r="L59" s="201">
        <v>4320</v>
      </c>
      <c r="M59" s="201">
        <v>0</v>
      </c>
      <c r="N59" s="201">
        <v>2700</v>
      </c>
      <c r="O59" s="201">
        <v>0</v>
      </c>
    </row>
    <row r="60" spans="1:15" s="182" customFormat="1" ht="73.5" customHeight="1">
      <c r="A60" s="198">
        <v>33</v>
      </c>
      <c r="B60" s="203" t="s">
        <v>930</v>
      </c>
      <c r="C60" s="200">
        <v>1324</v>
      </c>
      <c r="D60" s="200" t="s">
        <v>931</v>
      </c>
      <c r="E60" s="196">
        <f t="shared" si="12"/>
        <v>400</v>
      </c>
      <c r="F60" s="201">
        <v>0</v>
      </c>
      <c r="G60" s="201">
        <v>400</v>
      </c>
      <c r="H60" s="201">
        <v>0</v>
      </c>
      <c r="I60" s="201">
        <v>0</v>
      </c>
      <c r="J60" s="201">
        <v>0</v>
      </c>
      <c r="K60" s="201">
        <v>0</v>
      </c>
      <c r="L60" s="201">
        <v>0</v>
      </c>
      <c r="M60" s="201">
        <v>0</v>
      </c>
      <c r="N60" s="201">
        <v>0</v>
      </c>
      <c r="O60" s="201">
        <v>0</v>
      </c>
    </row>
    <row r="61" spans="1:15" s="182" customFormat="1" ht="73.5" customHeight="1">
      <c r="A61" s="198">
        <f t="shared" si="13"/>
        <v>34</v>
      </c>
      <c r="B61" s="203" t="s">
        <v>932</v>
      </c>
      <c r="C61" s="200">
        <v>1313</v>
      </c>
      <c r="D61" s="200" t="s">
        <v>933</v>
      </c>
      <c r="E61" s="196">
        <f t="shared" si="12"/>
        <v>9688.582000000002</v>
      </c>
      <c r="F61" s="201">
        <v>492.838</v>
      </c>
      <c r="G61" s="201">
        <v>132.48</v>
      </c>
      <c r="H61" s="201">
        <v>469.512</v>
      </c>
      <c r="I61" s="201">
        <v>553.856</v>
      </c>
      <c r="J61" s="201">
        <v>1195.676</v>
      </c>
      <c r="K61" s="201">
        <v>599.222</v>
      </c>
      <c r="L61" s="201">
        <v>3510.444</v>
      </c>
      <c r="M61" s="201">
        <v>839.546</v>
      </c>
      <c r="N61" s="201">
        <v>1893.352</v>
      </c>
      <c r="O61" s="201">
        <v>1.656</v>
      </c>
    </row>
    <row r="62" spans="1:15" s="182" customFormat="1" ht="73.5" customHeight="1">
      <c r="A62" s="198">
        <f t="shared" si="13"/>
        <v>35</v>
      </c>
      <c r="B62" s="203" t="s">
        <v>934</v>
      </c>
      <c r="C62" s="200">
        <v>1370</v>
      </c>
      <c r="D62" s="200" t="s">
        <v>935</v>
      </c>
      <c r="E62" s="196">
        <f t="shared" si="12"/>
        <v>200</v>
      </c>
      <c r="F62" s="201">
        <v>0</v>
      </c>
      <c r="G62" s="201">
        <v>0</v>
      </c>
      <c r="H62" s="201">
        <v>0</v>
      </c>
      <c r="I62" s="201">
        <v>0</v>
      </c>
      <c r="J62" s="201">
        <v>0</v>
      </c>
      <c r="K62" s="201">
        <v>0</v>
      </c>
      <c r="L62" s="201">
        <v>0</v>
      </c>
      <c r="M62" s="201">
        <v>0</v>
      </c>
      <c r="N62" s="201">
        <v>0</v>
      </c>
      <c r="O62" s="201">
        <v>200</v>
      </c>
    </row>
    <row r="63" spans="1:15" s="182" customFormat="1" ht="73.5" customHeight="1">
      <c r="A63" s="198">
        <f t="shared" si="13"/>
        <v>36</v>
      </c>
      <c r="B63" s="203" t="s">
        <v>936</v>
      </c>
      <c r="C63" s="200">
        <v>1826</v>
      </c>
      <c r="D63" s="200" t="s">
        <v>937</v>
      </c>
      <c r="E63" s="196">
        <f t="shared" si="12"/>
        <v>777.8</v>
      </c>
      <c r="F63" s="201">
        <v>677.8</v>
      </c>
      <c r="G63" s="201">
        <v>0</v>
      </c>
      <c r="H63" s="201">
        <v>0</v>
      </c>
      <c r="I63" s="201">
        <v>100</v>
      </c>
      <c r="J63" s="201">
        <v>0</v>
      </c>
      <c r="K63" s="201">
        <v>0</v>
      </c>
      <c r="L63" s="201">
        <v>0</v>
      </c>
      <c r="M63" s="201">
        <v>0</v>
      </c>
      <c r="N63" s="201">
        <v>0</v>
      </c>
      <c r="O63" s="201">
        <v>0</v>
      </c>
    </row>
    <row r="64" spans="1:15" s="182" customFormat="1" ht="73.5" customHeight="1">
      <c r="A64" s="198">
        <f t="shared" si="13"/>
        <v>37</v>
      </c>
      <c r="B64" s="203" t="s">
        <v>938</v>
      </c>
      <c r="C64" s="200">
        <v>2035</v>
      </c>
      <c r="D64" s="200" t="s">
        <v>939</v>
      </c>
      <c r="E64" s="196">
        <f t="shared" si="12"/>
        <v>590</v>
      </c>
      <c r="F64" s="201">
        <v>0</v>
      </c>
      <c r="G64" s="201">
        <v>0</v>
      </c>
      <c r="H64" s="201">
        <v>0</v>
      </c>
      <c r="I64" s="201">
        <v>0</v>
      </c>
      <c r="J64" s="201">
        <v>0</v>
      </c>
      <c r="K64" s="201">
        <v>0</v>
      </c>
      <c r="L64" s="201">
        <v>0</v>
      </c>
      <c r="M64" s="201">
        <v>0</v>
      </c>
      <c r="N64" s="201">
        <v>0</v>
      </c>
      <c r="O64" s="201">
        <v>590</v>
      </c>
    </row>
    <row r="65" spans="1:15" s="182" customFormat="1" ht="73.5" customHeight="1">
      <c r="A65" s="198">
        <f t="shared" si="13"/>
        <v>38</v>
      </c>
      <c r="B65" s="203" t="s">
        <v>940</v>
      </c>
      <c r="C65" s="200">
        <v>2018</v>
      </c>
      <c r="D65" s="200" t="s">
        <v>941</v>
      </c>
      <c r="E65" s="196">
        <f t="shared" si="12"/>
        <v>500</v>
      </c>
      <c r="F65" s="201">
        <v>0</v>
      </c>
      <c r="G65" s="201">
        <v>0</v>
      </c>
      <c r="H65" s="201">
        <v>0</v>
      </c>
      <c r="I65" s="201">
        <v>0</v>
      </c>
      <c r="J65" s="201">
        <v>500</v>
      </c>
      <c r="K65" s="201">
        <v>0</v>
      </c>
      <c r="L65" s="201">
        <v>0</v>
      </c>
      <c r="M65" s="201">
        <v>0</v>
      </c>
      <c r="N65" s="201">
        <v>0</v>
      </c>
      <c r="O65" s="201">
        <v>0</v>
      </c>
    </row>
    <row r="66" spans="1:15" s="182" customFormat="1" ht="73.5" customHeight="1">
      <c r="A66" s="198">
        <f t="shared" si="13"/>
        <v>39</v>
      </c>
      <c r="B66" s="203" t="s">
        <v>890</v>
      </c>
      <c r="C66" s="200">
        <v>2038</v>
      </c>
      <c r="D66" s="200" t="s">
        <v>942</v>
      </c>
      <c r="E66" s="196">
        <f t="shared" si="12"/>
        <v>3625</v>
      </c>
      <c r="F66" s="201">
        <v>0</v>
      </c>
      <c r="G66" s="201">
        <v>150</v>
      </c>
      <c r="H66" s="201">
        <v>475</v>
      </c>
      <c r="I66" s="201">
        <v>475</v>
      </c>
      <c r="J66" s="201">
        <v>665</v>
      </c>
      <c r="K66" s="201">
        <v>475</v>
      </c>
      <c r="L66" s="201">
        <v>350</v>
      </c>
      <c r="M66" s="201">
        <v>623</v>
      </c>
      <c r="N66" s="201">
        <v>412</v>
      </c>
      <c r="O66" s="201">
        <v>0</v>
      </c>
    </row>
    <row r="67" spans="1:15" s="182" customFormat="1" ht="73.5" customHeight="1">
      <c r="A67" s="198">
        <f t="shared" si="13"/>
        <v>40</v>
      </c>
      <c r="B67" s="203" t="s">
        <v>943</v>
      </c>
      <c r="C67" s="200">
        <v>1788</v>
      </c>
      <c r="D67" s="200" t="s">
        <v>944</v>
      </c>
      <c r="E67" s="196">
        <f t="shared" si="12"/>
        <v>4500</v>
      </c>
      <c r="F67" s="201">
        <v>300</v>
      </c>
      <c r="G67" s="201">
        <v>300</v>
      </c>
      <c r="H67" s="201">
        <v>1400</v>
      </c>
      <c r="I67" s="201">
        <v>200</v>
      </c>
      <c r="J67" s="201">
        <v>800</v>
      </c>
      <c r="K67" s="201">
        <v>500</v>
      </c>
      <c r="L67" s="201">
        <v>100</v>
      </c>
      <c r="M67" s="201">
        <v>600</v>
      </c>
      <c r="N67" s="201">
        <v>300</v>
      </c>
      <c r="O67" s="201">
        <v>0</v>
      </c>
    </row>
    <row r="68" spans="1:15" s="182" customFormat="1" ht="73.5" customHeight="1">
      <c r="A68" s="198">
        <f t="shared" si="13"/>
        <v>41</v>
      </c>
      <c r="B68" s="203" t="s">
        <v>945</v>
      </c>
      <c r="C68" s="200">
        <v>2353</v>
      </c>
      <c r="D68" s="200" t="s">
        <v>946</v>
      </c>
      <c r="E68" s="196">
        <f t="shared" si="12"/>
        <v>18941.163</v>
      </c>
      <c r="F68" s="201">
        <v>783.391</v>
      </c>
      <c r="G68" s="201">
        <v>198.905</v>
      </c>
      <c r="H68" s="201">
        <v>5084.38</v>
      </c>
      <c r="I68" s="201">
        <v>4049.15</v>
      </c>
      <c r="J68" s="201">
        <v>2937.865</v>
      </c>
      <c r="K68" s="201">
        <v>3553.525</v>
      </c>
      <c r="L68" s="201">
        <v>639.135</v>
      </c>
      <c r="M68" s="201">
        <v>1287.965</v>
      </c>
      <c r="N68" s="201">
        <v>406.847</v>
      </c>
      <c r="O68" s="201">
        <v>0</v>
      </c>
    </row>
    <row r="69" spans="1:15" s="182" customFormat="1" ht="73.5" customHeight="1">
      <c r="A69" s="198">
        <f t="shared" si="13"/>
        <v>42</v>
      </c>
      <c r="B69" s="203" t="s">
        <v>947</v>
      </c>
      <c r="C69" s="200">
        <v>2331</v>
      </c>
      <c r="D69" s="200" t="s">
        <v>948</v>
      </c>
      <c r="E69" s="196">
        <f t="shared" si="12"/>
        <v>7246.583999999999</v>
      </c>
      <c r="F69" s="201">
        <v>1100</v>
      </c>
      <c r="G69" s="201">
        <v>200</v>
      </c>
      <c r="H69" s="201">
        <v>750</v>
      </c>
      <c r="I69" s="201">
        <v>1700.301</v>
      </c>
      <c r="J69" s="201">
        <v>350</v>
      </c>
      <c r="K69" s="201">
        <v>350</v>
      </c>
      <c r="L69" s="201">
        <v>0</v>
      </c>
      <c r="M69" s="201">
        <v>450</v>
      </c>
      <c r="N69" s="201">
        <v>2346.283</v>
      </c>
      <c r="O69" s="201">
        <v>0</v>
      </c>
    </row>
    <row r="70" spans="1:15" s="182" customFormat="1" ht="73.5" customHeight="1">
      <c r="A70" s="198">
        <f t="shared" si="13"/>
        <v>43</v>
      </c>
      <c r="B70" s="203" t="s">
        <v>947</v>
      </c>
      <c r="C70" s="200">
        <v>2331</v>
      </c>
      <c r="D70" s="200" t="s">
        <v>949</v>
      </c>
      <c r="E70" s="196">
        <f t="shared" si="12"/>
        <v>6253.717</v>
      </c>
      <c r="F70" s="201">
        <v>0</v>
      </c>
      <c r="G70" s="201">
        <v>0</v>
      </c>
      <c r="H70" s="201">
        <v>0</v>
      </c>
      <c r="I70" s="201">
        <v>0</v>
      </c>
      <c r="J70" s="201">
        <v>0</v>
      </c>
      <c r="K70" s="201">
        <v>0</v>
      </c>
      <c r="L70" s="201">
        <v>5600</v>
      </c>
      <c r="M70" s="201">
        <v>0</v>
      </c>
      <c r="N70" s="201">
        <v>653.717</v>
      </c>
      <c r="O70" s="201">
        <v>0</v>
      </c>
    </row>
    <row r="71" spans="1:15" s="182" customFormat="1" ht="122.25" customHeight="1">
      <c r="A71" s="198">
        <f t="shared" si="13"/>
        <v>44</v>
      </c>
      <c r="B71" s="203" t="s">
        <v>950</v>
      </c>
      <c r="C71" s="200">
        <v>2381</v>
      </c>
      <c r="D71" s="200" t="s">
        <v>951</v>
      </c>
      <c r="E71" s="196">
        <f t="shared" si="12"/>
        <v>100</v>
      </c>
      <c r="F71" s="201">
        <v>100</v>
      </c>
      <c r="G71" s="201">
        <v>0</v>
      </c>
      <c r="H71" s="201">
        <v>0</v>
      </c>
      <c r="I71" s="201">
        <v>0</v>
      </c>
      <c r="J71" s="201">
        <v>0</v>
      </c>
      <c r="K71" s="201">
        <v>0</v>
      </c>
      <c r="L71" s="201">
        <v>0</v>
      </c>
      <c r="M71" s="201">
        <v>0</v>
      </c>
      <c r="N71" s="201">
        <v>0</v>
      </c>
      <c r="O71" s="201">
        <v>0</v>
      </c>
    </row>
    <row r="72" spans="1:15" s="182" customFormat="1" ht="66" customHeight="1">
      <c r="A72" s="198">
        <f t="shared" si="13"/>
        <v>45</v>
      </c>
      <c r="B72" s="203" t="s">
        <v>952</v>
      </c>
      <c r="C72" s="200">
        <v>2555</v>
      </c>
      <c r="D72" s="200" t="s">
        <v>953</v>
      </c>
      <c r="E72" s="196">
        <f t="shared" si="12"/>
        <v>10058.491</v>
      </c>
      <c r="F72" s="201">
        <v>414.722</v>
      </c>
      <c r="G72" s="201">
        <v>0</v>
      </c>
      <c r="H72" s="201">
        <v>4886.158</v>
      </c>
      <c r="I72" s="201">
        <v>670.361</v>
      </c>
      <c r="J72" s="201">
        <v>1883.828</v>
      </c>
      <c r="K72" s="201">
        <v>485.215</v>
      </c>
      <c r="L72" s="201">
        <v>849.874</v>
      </c>
      <c r="M72" s="201">
        <v>409.12</v>
      </c>
      <c r="N72" s="201">
        <v>459.213</v>
      </c>
      <c r="O72" s="201">
        <v>0</v>
      </c>
    </row>
    <row r="73" spans="1:15" s="182" customFormat="1" ht="66" customHeight="1">
      <c r="A73" s="198">
        <f t="shared" si="13"/>
        <v>46</v>
      </c>
      <c r="B73" s="203" t="s">
        <v>954</v>
      </c>
      <c r="C73" s="200">
        <v>2535</v>
      </c>
      <c r="D73" s="200" t="s">
        <v>955</v>
      </c>
      <c r="E73" s="196">
        <f t="shared" si="12"/>
        <v>100</v>
      </c>
      <c r="F73" s="201">
        <v>0</v>
      </c>
      <c r="G73" s="201">
        <v>0</v>
      </c>
      <c r="H73" s="201">
        <v>100</v>
      </c>
      <c r="I73" s="201">
        <v>0</v>
      </c>
      <c r="J73" s="201">
        <v>0</v>
      </c>
      <c r="K73" s="201">
        <v>0</v>
      </c>
      <c r="L73" s="201">
        <v>0</v>
      </c>
      <c r="M73" s="201">
        <v>0</v>
      </c>
      <c r="N73" s="201">
        <v>0</v>
      </c>
      <c r="O73" s="201">
        <v>0</v>
      </c>
    </row>
    <row r="74" spans="1:15" s="182" customFormat="1" ht="66" customHeight="1">
      <c r="A74" s="198">
        <f t="shared" si="13"/>
        <v>47</v>
      </c>
      <c r="B74" s="203" t="s">
        <v>956</v>
      </c>
      <c r="C74" s="200">
        <v>2718</v>
      </c>
      <c r="D74" s="200" t="s">
        <v>957</v>
      </c>
      <c r="E74" s="196">
        <f t="shared" si="12"/>
        <v>5000</v>
      </c>
      <c r="F74" s="201">
        <v>0</v>
      </c>
      <c r="G74" s="201">
        <v>0</v>
      </c>
      <c r="H74" s="201">
        <v>2000</v>
      </c>
      <c r="I74" s="201">
        <v>1000</v>
      </c>
      <c r="J74" s="201">
        <v>0</v>
      </c>
      <c r="K74" s="201">
        <v>0</v>
      </c>
      <c r="L74" s="201">
        <v>0</v>
      </c>
      <c r="M74" s="201">
        <v>0</v>
      </c>
      <c r="N74" s="201">
        <v>2000</v>
      </c>
      <c r="O74" s="201">
        <v>0</v>
      </c>
    </row>
    <row r="75" spans="1:15" s="182" customFormat="1" ht="66" customHeight="1">
      <c r="A75" s="198">
        <f t="shared" si="13"/>
        <v>48</v>
      </c>
      <c r="B75" s="203" t="s">
        <v>958</v>
      </c>
      <c r="C75" s="200">
        <v>3054</v>
      </c>
      <c r="D75" s="200" t="s">
        <v>959</v>
      </c>
      <c r="E75" s="196">
        <f t="shared" si="12"/>
        <v>810.482</v>
      </c>
      <c r="F75" s="201">
        <v>0</v>
      </c>
      <c r="G75" s="201">
        <v>0</v>
      </c>
      <c r="H75" s="201">
        <v>0</v>
      </c>
      <c r="I75" s="201">
        <v>0</v>
      </c>
      <c r="J75" s="201">
        <v>810.482</v>
      </c>
      <c r="K75" s="201">
        <v>0</v>
      </c>
      <c r="L75" s="201">
        <v>0</v>
      </c>
      <c r="M75" s="201">
        <v>0</v>
      </c>
      <c r="N75" s="201">
        <v>0</v>
      </c>
      <c r="O75" s="201">
        <v>0</v>
      </c>
    </row>
    <row r="76" spans="1:15" s="182" customFormat="1" ht="66" customHeight="1">
      <c r="A76" s="198">
        <f t="shared" si="13"/>
        <v>49</v>
      </c>
      <c r="B76" s="203" t="s">
        <v>958</v>
      </c>
      <c r="C76" s="200">
        <v>3054</v>
      </c>
      <c r="D76" s="200" t="s">
        <v>960</v>
      </c>
      <c r="E76" s="196">
        <f t="shared" si="12"/>
        <v>441.804</v>
      </c>
      <c r="F76" s="201">
        <v>0</v>
      </c>
      <c r="G76" s="201">
        <v>0</v>
      </c>
      <c r="H76" s="201">
        <v>0</v>
      </c>
      <c r="I76" s="201">
        <v>0</v>
      </c>
      <c r="J76" s="201">
        <v>441.804</v>
      </c>
      <c r="K76" s="201">
        <v>0</v>
      </c>
      <c r="L76" s="201">
        <v>0</v>
      </c>
      <c r="M76" s="201">
        <v>0</v>
      </c>
      <c r="N76" s="201">
        <v>0</v>
      </c>
      <c r="O76" s="201">
        <v>0</v>
      </c>
    </row>
    <row r="77" spans="1:15" s="182" customFormat="1" ht="66" customHeight="1">
      <c r="A77" s="198">
        <f t="shared" si="13"/>
        <v>50</v>
      </c>
      <c r="B77" s="203" t="s">
        <v>958</v>
      </c>
      <c r="C77" s="200">
        <v>3068</v>
      </c>
      <c r="D77" s="200" t="s">
        <v>960</v>
      </c>
      <c r="E77" s="196">
        <f t="shared" si="12"/>
        <v>1021.934</v>
      </c>
      <c r="F77" s="201">
        <v>0</v>
      </c>
      <c r="G77" s="201">
        <v>0</v>
      </c>
      <c r="H77" s="201">
        <v>0</v>
      </c>
      <c r="I77" s="201">
        <v>0</v>
      </c>
      <c r="J77" s="201">
        <v>0</v>
      </c>
      <c r="K77" s="201">
        <v>1021.934</v>
      </c>
      <c r="L77" s="201">
        <v>0</v>
      </c>
      <c r="M77" s="201">
        <v>0</v>
      </c>
      <c r="N77" s="201">
        <v>0</v>
      </c>
      <c r="O77" s="201">
        <v>0</v>
      </c>
    </row>
    <row r="78" spans="1:15" s="182" customFormat="1" ht="66" customHeight="1">
      <c r="A78" s="198">
        <f t="shared" si="13"/>
        <v>51</v>
      </c>
      <c r="B78" s="203" t="s">
        <v>961</v>
      </c>
      <c r="C78" s="200">
        <v>3053</v>
      </c>
      <c r="D78" s="200" t="s">
        <v>962</v>
      </c>
      <c r="E78" s="196">
        <f t="shared" si="12"/>
        <v>6210</v>
      </c>
      <c r="F78" s="201">
        <v>0</v>
      </c>
      <c r="G78" s="201">
        <v>0</v>
      </c>
      <c r="H78" s="201">
        <v>0</v>
      </c>
      <c r="I78" s="201">
        <v>0</v>
      </c>
      <c r="J78" s="201">
        <v>3330</v>
      </c>
      <c r="K78" s="201">
        <v>0</v>
      </c>
      <c r="L78" s="201">
        <v>2880</v>
      </c>
      <c r="M78" s="201">
        <v>0</v>
      </c>
      <c r="N78" s="201">
        <v>0</v>
      </c>
      <c r="O78" s="201">
        <v>0</v>
      </c>
    </row>
    <row r="79" spans="1:15" s="182" customFormat="1" ht="66" customHeight="1">
      <c r="A79" s="198"/>
      <c r="B79" s="203" t="s">
        <v>961</v>
      </c>
      <c r="C79" s="200">
        <v>3095</v>
      </c>
      <c r="D79" s="200" t="s">
        <v>963</v>
      </c>
      <c r="E79" s="196">
        <f t="shared" si="12"/>
        <v>728</v>
      </c>
      <c r="F79" s="201">
        <v>0</v>
      </c>
      <c r="G79" s="201">
        <v>728</v>
      </c>
      <c r="H79" s="201">
        <v>0</v>
      </c>
      <c r="I79" s="201">
        <v>0</v>
      </c>
      <c r="J79" s="201">
        <v>0</v>
      </c>
      <c r="K79" s="201">
        <v>0</v>
      </c>
      <c r="L79" s="201">
        <v>0</v>
      </c>
      <c r="M79" s="201">
        <v>0</v>
      </c>
      <c r="N79" s="201">
        <v>0</v>
      </c>
      <c r="O79" s="201">
        <v>0</v>
      </c>
    </row>
    <row r="80" spans="1:15" s="182" customFormat="1" ht="66" customHeight="1">
      <c r="A80" s="198">
        <f>A78+1</f>
        <v>52</v>
      </c>
      <c r="B80" s="203" t="s">
        <v>964</v>
      </c>
      <c r="C80" s="200">
        <v>3076</v>
      </c>
      <c r="D80" s="200" t="s">
        <v>965</v>
      </c>
      <c r="E80" s="196">
        <f t="shared" si="12"/>
        <v>420</v>
      </c>
      <c r="F80" s="201">
        <v>0</v>
      </c>
      <c r="G80" s="201">
        <v>0</v>
      </c>
      <c r="H80" s="201">
        <v>0</v>
      </c>
      <c r="I80" s="201">
        <v>420</v>
      </c>
      <c r="J80" s="201">
        <v>0</v>
      </c>
      <c r="K80" s="201">
        <v>0</v>
      </c>
      <c r="L80" s="201">
        <v>0</v>
      </c>
      <c r="M80" s="201">
        <v>0</v>
      </c>
      <c r="N80" s="201">
        <v>0</v>
      </c>
      <c r="O80" s="201">
        <v>0</v>
      </c>
    </row>
    <row r="81" spans="1:15" s="182" customFormat="1" ht="66" customHeight="1">
      <c r="A81" s="198">
        <v>52</v>
      </c>
      <c r="B81" s="203" t="s">
        <v>966</v>
      </c>
      <c r="C81" s="200">
        <v>3231</v>
      </c>
      <c r="D81" s="200" t="s">
        <v>967</v>
      </c>
      <c r="E81" s="196">
        <f t="shared" si="12"/>
        <v>352.405</v>
      </c>
      <c r="F81" s="201">
        <v>352.405</v>
      </c>
      <c r="G81" s="201">
        <v>0</v>
      </c>
      <c r="H81" s="201">
        <v>0</v>
      </c>
      <c r="I81" s="201">
        <v>0</v>
      </c>
      <c r="J81" s="201">
        <v>0</v>
      </c>
      <c r="K81" s="201">
        <v>0</v>
      </c>
      <c r="L81" s="201">
        <v>0</v>
      </c>
      <c r="M81" s="201">
        <v>0</v>
      </c>
      <c r="N81" s="201">
        <v>0</v>
      </c>
      <c r="O81" s="201">
        <v>0</v>
      </c>
    </row>
    <row r="82" spans="1:15" s="182" customFormat="1" ht="66" customHeight="1">
      <c r="A82" s="198">
        <v>53</v>
      </c>
      <c r="B82" s="203" t="s">
        <v>968</v>
      </c>
      <c r="C82" s="200">
        <v>3179</v>
      </c>
      <c r="D82" s="200" t="s">
        <v>969</v>
      </c>
      <c r="E82" s="196">
        <f t="shared" si="12"/>
        <v>700</v>
      </c>
      <c r="F82" s="201">
        <v>0</v>
      </c>
      <c r="G82" s="201">
        <v>0</v>
      </c>
      <c r="H82" s="201">
        <v>350</v>
      </c>
      <c r="I82" s="201">
        <v>0</v>
      </c>
      <c r="J82" s="201">
        <v>0</v>
      </c>
      <c r="K82" s="201">
        <v>0</v>
      </c>
      <c r="L82" s="201">
        <v>0</v>
      </c>
      <c r="M82" s="201">
        <v>350</v>
      </c>
      <c r="N82" s="201">
        <v>0</v>
      </c>
      <c r="O82" s="201">
        <v>0</v>
      </c>
    </row>
    <row r="83" spans="1:15" s="182" customFormat="1" ht="66" customHeight="1">
      <c r="A83" s="198">
        <v>54</v>
      </c>
      <c r="B83" s="203" t="s">
        <v>970</v>
      </c>
      <c r="C83" s="200">
        <v>3059</v>
      </c>
      <c r="D83" s="200" t="s">
        <v>971</v>
      </c>
      <c r="E83" s="196">
        <f t="shared" si="12"/>
        <v>1500</v>
      </c>
      <c r="F83" s="201">
        <v>0</v>
      </c>
      <c r="G83" s="201">
        <v>0</v>
      </c>
      <c r="H83" s="201">
        <v>0</v>
      </c>
      <c r="I83" s="201">
        <v>0</v>
      </c>
      <c r="J83" s="201">
        <v>0</v>
      </c>
      <c r="K83" s="201">
        <v>0</v>
      </c>
      <c r="L83" s="201">
        <v>1500</v>
      </c>
      <c r="M83" s="201">
        <v>0</v>
      </c>
      <c r="N83" s="201">
        <v>0</v>
      </c>
      <c r="O83" s="201">
        <v>0</v>
      </c>
    </row>
    <row r="84" spans="1:15" s="182" customFormat="1" ht="140.25" customHeight="1">
      <c r="A84" s="198">
        <f>A83+1</f>
        <v>55</v>
      </c>
      <c r="B84" s="203" t="s">
        <v>972</v>
      </c>
      <c r="C84" s="200">
        <v>3324</v>
      </c>
      <c r="D84" s="200" t="s">
        <v>973</v>
      </c>
      <c r="E84" s="196">
        <f t="shared" si="12"/>
        <v>3015.324</v>
      </c>
      <c r="F84" s="201">
        <v>252.486</v>
      </c>
      <c r="G84" s="201">
        <v>152.88</v>
      </c>
      <c r="H84" s="201">
        <f>(409247000+15385000)/1000000</f>
        <v>424.632</v>
      </c>
      <c r="I84" s="201">
        <v>355.524</v>
      </c>
      <c r="J84" s="201">
        <v>425.568</v>
      </c>
      <c r="K84" s="201">
        <v>404.04</v>
      </c>
      <c r="L84" s="201">
        <v>435.162</v>
      </c>
      <c r="M84" s="201">
        <v>211.146</v>
      </c>
      <c r="N84" s="201">
        <v>313.482</v>
      </c>
      <c r="O84" s="201">
        <v>40.404</v>
      </c>
    </row>
    <row r="85" spans="1:15" s="182" customFormat="1" ht="66" customHeight="1">
      <c r="A85" s="198">
        <f aca="true" t="shared" si="14" ref="A85:A115">A84+1</f>
        <v>56</v>
      </c>
      <c r="B85" s="203" t="s">
        <v>974</v>
      </c>
      <c r="C85" s="200">
        <v>3310</v>
      </c>
      <c r="D85" s="200" t="s">
        <v>975</v>
      </c>
      <c r="E85" s="196">
        <f t="shared" si="12"/>
        <v>1800</v>
      </c>
      <c r="F85" s="201">
        <v>0</v>
      </c>
      <c r="G85" s="201">
        <v>0</v>
      </c>
      <c r="H85" s="201">
        <v>0</v>
      </c>
      <c r="I85" s="201">
        <v>0</v>
      </c>
      <c r="J85" s="201">
        <v>0</v>
      </c>
      <c r="K85" s="201">
        <v>1800</v>
      </c>
      <c r="L85" s="201">
        <v>0</v>
      </c>
      <c r="M85" s="201">
        <v>0</v>
      </c>
      <c r="N85" s="201">
        <v>0</v>
      </c>
      <c r="O85" s="201">
        <v>0</v>
      </c>
    </row>
    <row r="86" spans="1:15" s="182" customFormat="1" ht="66" customHeight="1">
      <c r="A86" s="198">
        <f t="shared" si="14"/>
        <v>57</v>
      </c>
      <c r="B86" s="203" t="s">
        <v>976</v>
      </c>
      <c r="C86" s="200">
        <v>3327</v>
      </c>
      <c r="D86" s="200" t="s">
        <v>977</v>
      </c>
      <c r="E86" s="196">
        <f t="shared" si="12"/>
        <v>935</v>
      </c>
      <c r="F86" s="201">
        <v>0</v>
      </c>
      <c r="G86" s="201">
        <v>0</v>
      </c>
      <c r="H86" s="201">
        <v>0</v>
      </c>
      <c r="I86" s="201">
        <v>0</v>
      </c>
      <c r="J86" s="201">
        <v>0</v>
      </c>
      <c r="K86" s="201">
        <v>0</v>
      </c>
      <c r="L86" s="201">
        <v>0</v>
      </c>
      <c r="M86" s="201">
        <v>0</v>
      </c>
      <c r="N86" s="201">
        <v>935</v>
      </c>
      <c r="O86" s="201">
        <v>0</v>
      </c>
    </row>
    <row r="87" spans="1:15" s="182" customFormat="1" ht="66" customHeight="1">
      <c r="A87" s="198">
        <f t="shared" si="14"/>
        <v>58</v>
      </c>
      <c r="B87" s="203" t="s">
        <v>978</v>
      </c>
      <c r="C87" s="200">
        <v>3316</v>
      </c>
      <c r="D87" s="200" t="s">
        <v>979</v>
      </c>
      <c r="E87" s="196">
        <f t="shared" si="12"/>
        <v>100</v>
      </c>
      <c r="F87" s="201">
        <v>0</v>
      </c>
      <c r="G87" s="201">
        <v>100</v>
      </c>
      <c r="H87" s="201">
        <v>0</v>
      </c>
      <c r="I87" s="201">
        <v>0</v>
      </c>
      <c r="J87" s="201">
        <v>0</v>
      </c>
      <c r="K87" s="201">
        <v>0</v>
      </c>
      <c r="L87" s="201">
        <v>0</v>
      </c>
      <c r="M87" s="201">
        <v>0</v>
      </c>
      <c r="N87" s="201">
        <v>0</v>
      </c>
      <c r="O87" s="201">
        <v>0</v>
      </c>
    </row>
    <row r="88" spans="1:15" s="182" customFormat="1" ht="66" customHeight="1">
      <c r="A88" s="198">
        <f t="shared" si="14"/>
        <v>59</v>
      </c>
      <c r="B88" s="203" t="s">
        <v>976</v>
      </c>
      <c r="C88" s="200">
        <v>3317</v>
      </c>
      <c r="D88" s="200" t="s">
        <v>980</v>
      </c>
      <c r="E88" s="196">
        <f t="shared" si="12"/>
        <v>300</v>
      </c>
      <c r="F88" s="201">
        <v>0</v>
      </c>
      <c r="G88" s="201">
        <v>0</v>
      </c>
      <c r="H88" s="201">
        <v>0</v>
      </c>
      <c r="I88" s="201">
        <v>0</v>
      </c>
      <c r="J88" s="201">
        <v>300</v>
      </c>
      <c r="K88" s="201">
        <v>0</v>
      </c>
      <c r="L88" s="201">
        <v>0</v>
      </c>
      <c r="M88" s="201">
        <v>0</v>
      </c>
      <c r="N88" s="201">
        <v>0</v>
      </c>
      <c r="O88" s="201">
        <v>0</v>
      </c>
    </row>
    <row r="89" spans="1:15" s="182" customFormat="1" ht="66" customHeight="1">
      <c r="A89" s="198">
        <f t="shared" si="14"/>
        <v>60</v>
      </c>
      <c r="B89" s="203" t="s">
        <v>964</v>
      </c>
      <c r="C89" s="200">
        <v>3339</v>
      </c>
      <c r="D89" s="200" t="s">
        <v>981</v>
      </c>
      <c r="E89" s="196">
        <f t="shared" si="12"/>
        <v>420</v>
      </c>
      <c r="F89" s="201">
        <v>0</v>
      </c>
      <c r="G89" s="201">
        <v>420</v>
      </c>
      <c r="H89" s="201">
        <v>0</v>
      </c>
      <c r="I89" s="201">
        <v>0</v>
      </c>
      <c r="J89" s="201">
        <v>0</v>
      </c>
      <c r="K89" s="201">
        <v>0</v>
      </c>
      <c r="L89" s="201">
        <v>0</v>
      </c>
      <c r="M89" s="201">
        <v>0</v>
      </c>
      <c r="N89" s="201">
        <v>0</v>
      </c>
      <c r="O89" s="201">
        <v>0</v>
      </c>
    </row>
    <row r="90" spans="1:15" s="182" customFormat="1" ht="141" customHeight="1">
      <c r="A90" s="198">
        <f t="shared" si="14"/>
        <v>61</v>
      </c>
      <c r="B90" s="203" t="s">
        <v>982</v>
      </c>
      <c r="C90" s="200">
        <v>3360</v>
      </c>
      <c r="D90" s="200" t="s">
        <v>983</v>
      </c>
      <c r="E90" s="196">
        <f t="shared" si="12"/>
        <v>1120.22</v>
      </c>
      <c r="F90" s="201">
        <v>0</v>
      </c>
      <c r="G90" s="201">
        <v>0</v>
      </c>
      <c r="H90" s="201">
        <v>144.39</v>
      </c>
      <c r="I90" s="201">
        <v>33.06</v>
      </c>
      <c r="J90" s="201">
        <v>34.03</v>
      </c>
      <c r="K90" s="201">
        <v>158.46</v>
      </c>
      <c r="L90" s="201">
        <f>(436560000+45940000)/1000000</f>
        <v>482.5</v>
      </c>
      <c r="M90" s="201">
        <v>110.3</v>
      </c>
      <c r="N90" s="201">
        <v>157.48</v>
      </c>
      <c r="O90" s="201">
        <v>0</v>
      </c>
    </row>
    <row r="91" spans="1:15" s="182" customFormat="1" ht="66" customHeight="1">
      <c r="A91" s="198">
        <f t="shared" si="14"/>
        <v>62</v>
      </c>
      <c r="B91" s="203" t="s">
        <v>984</v>
      </c>
      <c r="C91" s="200">
        <v>3318</v>
      </c>
      <c r="D91" s="200" t="s">
        <v>985</v>
      </c>
      <c r="E91" s="196">
        <f t="shared" si="12"/>
        <v>900</v>
      </c>
      <c r="F91" s="201">
        <v>0</v>
      </c>
      <c r="G91" s="201">
        <v>0</v>
      </c>
      <c r="H91" s="201">
        <v>0</v>
      </c>
      <c r="I91" s="201">
        <v>0</v>
      </c>
      <c r="J91" s="201">
        <v>0</v>
      </c>
      <c r="K91" s="201">
        <v>0</v>
      </c>
      <c r="L91" s="201">
        <v>0</v>
      </c>
      <c r="M91" s="201">
        <v>0</v>
      </c>
      <c r="N91" s="201">
        <v>900</v>
      </c>
      <c r="O91" s="201">
        <v>0</v>
      </c>
    </row>
    <row r="92" spans="1:15" s="182" customFormat="1" ht="66" customHeight="1">
      <c r="A92" s="198">
        <f t="shared" si="14"/>
        <v>63</v>
      </c>
      <c r="B92" s="203" t="s">
        <v>986</v>
      </c>
      <c r="C92" s="200">
        <v>3366</v>
      </c>
      <c r="D92" s="200" t="s">
        <v>987</v>
      </c>
      <c r="E92" s="196">
        <f t="shared" si="12"/>
        <v>400</v>
      </c>
      <c r="F92" s="201">
        <v>0</v>
      </c>
      <c r="G92" s="201">
        <v>400</v>
      </c>
      <c r="H92" s="201">
        <v>0</v>
      </c>
      <c r="I92" s="201">
        <v>0</v>
      </c>
      <c r="J92" s="201">
        <v>0</v>
      </c>
      <c r="K92" s="201">
        <v>0</v>
      </c>
      <c r="L92" s="201">
        <v>0</v>
      </c>
      <c r="M92" s="201">
        <v>0</v>
      </c>
      <c r="N92" s="201">
        <v>0</v>
      </c>
      <c r="O92" s="201">
        <v>0</v>
      </c>
    </row>
    <row r="93" spans="1:15" s="217" customFormat="1" ht="66" customHeight="1">
      <c r="A93" s="212">
        <f t="shared" si="14"/>
        <v>64</v>
      </c>
      <c r="B93" s="213" t="s">
        <v>988</v>
      </c>
      <c r="C93" s="214">
        <v>3427</v>
      </c>
      <c r="D93" s="214" t="s">
        <v>989</v>
      </c>
      <c r="E93" s="215">
        <f t="shared" si="12"/>
        <v>7409.728999999999</v>
      </c>
      <c r="F93" s="216">
        <v>0</v>
      </c>
      <c r="G93" s="216">
        <v>0</v>
      </c>
      <c r="H93" s="216">
        <v>1882.341</v>
      </c>
      <c r="I93" s="216">
        <v>2100.982</v>
      </c>
      <c r="J93" s="216">
        <v>0</v>
      </c>
      <c r="K93" s="216">
        <v>3426.406</v>
      </c>
      <c r="L93" s="216">
        <v>0</v>
      </c>
      <c r="M93" s="216">
        <v>0</v>
      </c>
      <c r="N93" s="216">
        <v>0</v>
      </c>
      <c r="O93" s="216">
        <v>0</v>
      </c>
    </row>
    <row r="94" spans="1:15" s="182" customFormat="1" ht="66" customHeight="1">
      <c r="A94" s="198">
        <f t="shared" si="14"/>
        <v>65</v>
      </c>
      <c r="B94" s="203" t="s">
        <v>990</v>
      </c>
      <c r="C94" s="200">
        <v>3436</v>
      </c>
      <c r="D94" s="200" t="s">
        <v>991</v>
      </c>
      <c r="E94" s="196">
        <f t="shared" si="12"/>
        <v>5248.798000000001</v>
      </c>
      <c r="F94" s="201">
        <v>0</v>
      </c>
      <c r="G94" s="201">
        <v>0</v>
      </c>
      <c r="H94" s="201">
        <v>0</v>
      </c>
      <c r="I94" s="201">
        <v>0</v>
      </c>
      <c r="J94" s="201">
        <v>0</v>
      </c>
      <c r="K94" s="201">
        <v>0</v>
      </c>
      <c r="L94" s="201">
        <v>2722.721</v>
      </c>
      <c r="M94" s="201">
        <v>0</v>
      </c>
      <c r="N94" s="201">
        <v>2526.077</v>
      </c>
      <c r="O94" s="201">
        <v>0</v>
      </c>
    </row>
    <row r="95" spans="1:15" s="182" customFormat="1" ht="66" customHeight="1">
      <c r="A95" s="198">
        <f t="shared" si="14"/>
        <v>66</v>
      </c>
      <c r="B95" s="203" t="s">
        <v>990</v>
      </c>
      <c r="C95" s="200">
        <v>3441</v>
      </c>
      <c r="D95" s="200" t="s">
        <v>992</v>
      </c>
      <c r="E95" s="196">
        <f t="shared" si="12"/>
        <v>73</v>
      </c>
      <c r="F95" s="201">
        <v>0</v>
      </c>
      <c r="G95" s="201">
        <v>73</v>
      </c>
      <c r="H95" s="201">
        <v>0</v>
      </c>
      <c r="I95" s="201">
        <v>0</v>
      </c>
      <c r="J95" s="201">
        <v>0</v>
      </c>
      <c r="K95" s="201">
        <v>0</v>
      </c>
      <c r="L95" s="201">
        <v>0</v>
      </c>
      <c r="M95" s="201">
        <v>0</v>
      </c>
      <c r="N95" s="201">
        <v>0</v>
      </c>
      <c r="O95" s="201">
        <v>0</v>
      </c>
    </row>
    <row r="96" spans="1:15" s="182" customFormat="1" ht="66" customHeight="1">
      <c r="A96" s="198">
        <f t="shared" si="14"/>
        <v>67</v>
      </c>
      <c r="B96" s="203" t="s">
        <v>993</v>
      </c>
      <c r="C96" s="200">
        <v>3446</v>
      </c>
      <c r="D96" s="200" t="s">
        <v>994</v>
      </c>
      <c r="E96" s="196">
        <f t="shared" si="12"/>
        <v>39.18</v>
      </c>
      <c r="F96" s="201">
        <v>0</v>
      </c>
      <c r="G96" s="201">
        <v>39.18</v>
      </c>
      <c r="H96" s="201">
        <v>0</v>
      </c>
      <c r="I96" s="201">
        <v>0</v>
      </c>
      <c r="J96" s="201">
        <v>0</v>
      </c>
      <c r="K96" s="201">
        <v>0</v>
      </c>
      <c r="L96" s="201">
        <v>0</v>
      </c>
      <c r="M96" s="201">
        <v>0</v>
      </c>
      <c r="N96" s="201">
        <v>0</v>
      </c>
      <c r="O96" s="201">
        <v>0</v>
      </c>
    </row>
    <row r="97" spans="1:15" s="182" customFormat="1" ht="66" customHeight="1">
      <c r="A97" s="198">
        <f t="shared" si="14"/>
        <v>68</v>
      </c>
      <c r="B97" s="203" t="s">
        <v>995</v>
      </c>
      <c r="C97" s="200">
        <v>3440</v>
      </c>
      <c r="D97" s="200" t="s">
        <v>996</v>
      </c>
      <c r="E97" s="196">
        <f t="shared" si="12"/>
        <v>2418.991</v>
      </c>
      <c r="F97" s="201">
        <v>0</v>
      </c>
      <c r="G97" s="201">
        <v>0</v>
      </c>
      <c r="H97" s="201">
        <v>0</v>
      </c>
      <c r="I97" s="201">
        <v>0</v>
      </c>
      <c r="J97" s="201">
        <v>0</v>
      </c>
      <c r="K97" s="201">
        <v>0</v>
      </c>
      <c r="L97" s="201">
        <v>2049.248</v>
      </c>
      <c r="M97" s="201">
        <v>0</v>
      </c>
      <c r="N97" s="201">
        <v>369.743</v>
      </c>
      <c r="O97" s="201">
        <v>0</v>
      </c>
    </row>
    <row r="98" spans="1:15" s="182" customFormat="1" ht="66" customHeight="1">
      <c r="A98" s="198">
        <f t="shared" si="14"/>
        <v>69</v>
      </c>
      <c r="B98" s="203" t="s">
        <v>997</v>
      </c>
      <c r="C98" s="200">
        <v>3437</v>
      </c>
      <c r="D98" s="200" t="s">
        <v>998</v>
      </c>
      <c r="E98" s="196">
        <f t="shared" si="12"/>
        <v>8103.8369999999995</v>
      </c>
      <c r="F98" s="201">
        <v>335.168</v>
      </c>
      <c r="G98" s="201">
        <v>85.1</v>
      </c>
      <c r="H98" s="201">
        <v>2175.315</v>
      </c>
      <c r="I98" s="201">
        <v>1732.399</v>
      </c>
      <c r="J98" s="201">
        <v>1256.944</v>
      </c>
      <c r="K98" s="201">
        <v>1520.35</v>
      </c>
      <c r="L98" s="201">
        <v>273.449</v>
      </c>
      <c r="M98" s="201">
        <v>551.046</v>
      </c>
      <c r="N98" s="201">
        <v>174.066</v>
      </c>
      <c r="O98" s="201">
        <v>0</v>
      </c>
    </row>
    <row r="99" spans="1:15" s="182" customFormat="1" ht="66" customHeight="1">
      <c r="A99" s="198">
        <f t="shared" si="14"/>
        <v>70</v>
      </c>
      <c r="B99" s="203" t="s">
        <v>999</v>
      </c>
      <c r="C99" s="200">
        <v>3518</v>
      </c>
      <c r="D99" s="200" t="s">
        <v>1000</v>
      </c>
      <c r="E99" s="196">
        <f t="shared" si="12"/>
        <v>9220</v>
      </c>
      <c r="F99" s="201">
        <v>0</v>
      </c>
      <c r="G99" s="201">
        <v>0</v>
      </c>
      <c r="H99" s="201">
        <v>825</v>
      </c>
      <c r="I99" s="201">
        <v>2916</v>
      </c>
      <c r="J99" s="201">
        <v>2353</v>
      </c>
      <c r="K99" s="201">
        <v>3126</v>
      </c>
      <c r="L99" s="201">
        <v>0</v>
      </c>
      <c r="M99" s="201">
        <v>0</v>
      </c>
      <c r="N99" s="201">
        <v>0</v>
      </c>
      <c r="O99" s="201">
        <v>0</v>
      </c>
    </row>
    <row r="100" spans="1:15" s="182" customFormat="1" ht="66" customHeight="1">
      <c r="A100" s="198">
        <f t="shared" si="14"/>
        <v>71</v>
      </c>
      <c r="B100" s="203" t="s">
        <v>1001</v>
      </c>
      <c r="C100" s="200">
        <v>3522</v>
      </c>
      <c r="D100" s="200" t="s">
        <v>1002</v>
      </c>
      <c r="E100" s="196">
        <f t="shared" si="12"/>
        <v>1047.385</v>
      </c>
      <c r="F100" s="201">
        <v>0</v>
      </c>
      <c r="G100" s="201">
        <v>0</v>
      </c>
      <c r="H100" s="201">
        <v>338.81</v>
      </c>
      <c r="I100" s="201">
        <v>310.635</v>
      </c>
      <c r="J100" s="201">
        <v>227.39</v>
      </c>
      <c r="K100" s="201">
        <v>170.55</v>
      </c>
      <c r="L100" s="201">
        <v>0</v>
      </c>
      <c r="M100" s="201">
        <v>0</v>
      </c>
      <c r="N100" s="201">
        <v>0</v>
      </c>
      <c r="O100" s="201">
        <v>0</v>
      </c>
    </row>
    <row r="101" spans="1:15" s="182" customFormat="1" ht="66" customHeight="1">
      <c r="A101" s="198">
        <f t="shared" si="14"/>
        <v>72</v>
      </c>
      <c r="B101" s="203" t="s">
        <v>1003</v>
      </c>
      <c r="C101" s="200">
        <v>3540</v>
      </c>
      <c r="D101" s="200" t="s">
        <v>1004</v>
      </c>
      <c r="E101" s="196">
        <f t="shared" si="12"/>
        <v>686.907</v>
      </c>
      <c r="F101" s="201">
        <v>0</v>
      </c>
      <c r="G101" s="201">
        <v>0</v>
      </c>
      <c r="H101" s="201">
        <v>291.569</v>
      </c>
      <c r="I101" s="201">
        <v>0</v>
      </c>
      <c r="J101" s="201">
        <v>395.338</v>
      </c>
      <c r="K101" s="201">
        <v>0</v>
      </c>
      <c r="L101" s="201">
        <v>0</v>
      </c>
      <c r="M101" s="201">
        <v>0</v>
      </c>
      <c r="N101" s="201">
        <v>0</v>
      </c>
      <c r="O101" s="201">
        <v>0</v>
      </c>
    </row>
    <row r="102" spans="1:15" s="182" customFormat="1" ht="66" customHeight="1">
      <c r="A102" s="198">
        <f t="shared" si="14"/>
        <v>73</v>
      </c>
      <c r="B102" s="203" t="s">
        <v>1003</v>
      </c>
      <c r="C102" s="200">
        <v>3582</v>
      </c>
      <c r="D102" s="200" t="s">
        <v>1005</v>
      </c>
      <c r="E102" s="196">
        <f t="shared" si="12"/>
        <v>324.83</v>
      </c>
      <c r="F102" s="201">
        <v>0</v>
      </c>
      <c r="G102" s="201">
        <v>0</v>
      </c>
      <c r="H102" s="201">
        <v>0</v>
      </c>
      <c r="I102" s="201">
        <v>0</v>
      </c>
      <c r="J102" s="201">
        <v>0</v>
      </c>
      <c r="K102" s="201">
        <v>324.83</v>
      </c>
      <c r="L102" s="201">
        <v>0</v>
      </c>
      <c r="M102" s="201">
        <v>0</v>
      </c>
      <c r="N102" s="201">
        <v>0</v>
      </c>
      <c r="O102" s="201">
        <v>0</v>
      </c>
    </row>
    <row r="103" spans="1:15" s="182" customFormat="1" ht="66" customHeight="1">
      <c r="A103" s="198">
        <f t="shared" si="14"/>
        <v>74</v>
      </c>
      <c r="B103" s="203" t="s">
        <v>990</v>
      </c>
      <c r="C103" s="200">
        <v>3569</v>
      </c>
      <c r="D103" s="200" t="s">
        <v>1006</v>
      </c>
      <c r="E103" s="196">
        <f t="shared" si="12"/>
        <v>420</v>
      </c>
      <c r="F103" s="201">
        <v>0</v>
      </c>
      <c r="G103" s="201">
        <v>0</v>
      </c>
      <c r="H103" s="201">
        <v>420</v>
      </c>
      <c r="I103" s="201">
        <v>0</v>
      </c>
      <c r="J103" s="201">
        <v>0</v>
      </c>
      <c r="K103" s="201">
        <v>0</v>
      </c>
      <c r="L103" s="201">
        <v>0</v>
      </c>
      <c r="M103" s="201">
        <v>0</v>
      </c>
      <c r="N103" s="201">
        <v>0</v>
      </c>
      <c r="O103" s="201">
        <v>0</v>
      </c>
    </row>
    <row r="104" spans="1:15" s="182" customFormat="1" ht="66" customHeight="1">
      <c r="A104" s="198">
        <f t="shared" si="14"/>
        <v>75</v>
      </c>
      <c r="B104" s="203" t="s">
        <v>1007</v>
      </c>
      <c r="C104" s="200">
        <v>3636</v>
      </c>
      <c r="D104" s="200" t="s">
        <v>1008</v>
      </c>
      <c r="E104" s="196">
        <f t="shared" si="12"/>
        <v>195</v>
      </c>
      <c r="F104" s="201">
        <v>20</v>
      </c>
      <c r="G104" s="201">
        <v>10</v>
      </c>
      <c r="H104" s="201">
        <v>20</v>
      </c>
      <c r="I104" s="201">
        <v>20</v>
      </c>
      <c r="J104" s="201">
        <v>30</v>
      </c>
      <c r="K104" s="201">
        <v>25</v>
      </c>
      <c r="L104" s="201">
        <v>30</v>
      </c>
      <c r="M104" s="201">
        <v>20</v>
      </c>
      <c r="N104" s="201">
        <v>20</v>
      </c>
      <c r="O104" s="201">
        <v>0</v>
      </c>
    </row>
    <row r="105" spans="1:15" s="182" customFormat="1" ht="66" customHeight="1">
      <c r="A105" s="198"/>
      <c r="B105" s="203" t="s">
        <v>1009</v>
      </c>
      <c r="C105" s="200">
        <v>3659</v>
      </c>
      <c r="D105" s="200" t="s">
        <v>1010</v>
      </c>
      <c r="E105" s="196">
        <f t="shared" si="12"/>
        <v>139.44</v>
      </c>
      <c r="F105" s="201">
        <v>0</v>
      </c>
      <c r="G105" s="201">
        <v>0</v>
      </c>
      <c r="H105" s="201">
        <v>0</v>
      </c>
      <c r="I105" s="201">
        <v>0</v>
      </c>
      <c r="J105" s="201">
        <v>78.624</v>
      </c>
      <c r="K105" s="201">
        <v>60.816</v>
      </c>
      <c r="L105" s="201">
        <v>0</v>
      </c>
      <c r="M105" s="201">
        <v>0</v>
      </c>
      <c r="N105" s="201">
        <v>0</v>
      </c>
      <c r="O105" s="201">
        <v>0</v>
      </c>
    </row>
    <row r="106" spans="1:15" s="182" customFormat="1" ht="146.25" customHeight="1">
      <c r="A106" s="198">
        <f>A104+1</f>
        <v>76</v>
      </c>
      <c r="B106" s="203" t="s">
        <v>1011</v>
      </c>
      <c r="C106" s="200">
        <v>3673</v>
      </c>
      <c r="D106" s="200" t="s">
        <v>1012</v>
      </c>
      <c r="E106" s="196">
        <f t="shared" si="12"/>
        <v>597.7085</v>
      </c>
      <c r="F106" s="201">
        <v>39</v>
      </c>
      <c r="G106" s="201">
        <v>0</v>
      </c>
      <c r="H106" s="201">
        <v>0</v>
      </c>
      <c r="I106" s="201">
        <v>0</v>
      </c>
      <c r="J106" s="201">
        <v>0</v>
      </c>
      <c r="K106" s="201">
        <v>373.5235</v>
      </c>
      <c r="L106" s="201">
        <v>185.185</v>
      </c>
      <c r="M106" s="201">
        <v>0</v>
      </c>
      <c r="N106" s="201">
        <v>0</v>
      </c>
      <c r="O106" s="201">
        <v>0</v>
      </c>
    </row>
    <row r="107" spans="1:15" s="182" customFormat="1" ht="66" customHeight="1">
      <c r="A107" s="198">
        <f t="shared" si="14"/>
        <v>77</v>
      </c>
      <c r="B107" s="203" t="s">
        <v>1013</v>
      </c>
      <c r="C107" s="200">
        <v>3683</v>
      </c>
      <c r="D107" s="200" t="s">
        <v>1014</v>
      </c>
      <c r="E107" s="196">
        <f t="shared" si="12"/>
        <v>3000</v>
      </c>
      <c r="F107" s="201">
        <v>0</v>
      </c>
      <c r="G107" s="201">
        <v>0</v>
      </c>
      <c r="H107" s="201">
        <v>0</v>
      </c>
      <c r="I107" s="201">
        <v>0</v>
      </c>
      <c r="J107" s="201">
        <v>0</v>
      </c>
      <c r="K107" s="201">
        <v>3000</v>
      </c>
      <c r="L107" s="201">
        <v>0</v>
      </c>
      <c r="M107" s="201">
        <v>0</v>
      </c>
      <c r="N107" s="201">
        <v>0</v>
      </c>
      <c r="O107" s="201">
        <v>0</v>
      </c>
    </row>
    <row r="108" spans="1:15" s="182" customFormat="1" ht="66" customHeight="1">
      <c r="A108" s="198">
        <f t="shared" si="14"/>
        <v>78</v>
      </c>
      <c r="B108" s="203" t="s">
        <v>1015</v>
      </c>
      <c r="C108" s="200">
        <v>3688</v>
      </c>
      <c r="D108" s="200" t="s">
        <v>1016</v>
      </c>
      <c r="E108" s="196">
        <f t="shared" si="12"/>
        <v>61.36</v>
      </c>
      <c r="F108" s="201">
        <v>0</v>
      </c>
      <c r="G108" s="201">
        <v>0</v>
      </c>
      <c r="H108" s="201">
        <v>0</v>
      </c>
      <c r="I108" s="201">
        <v>0</v>
      </c>
      <c r="J108" s="201">
        <v>0</v>
      </c>
      <c r="K108" s="201">
        <v>0</v>
      </c>
      <c r="L108" s="201">
        <v>0</v>
      </c>
      <c r="M108" s="201">
        <v>0</v>
      </c>
      <c r="N108" s="201">
        <v>61.36</v>
      </c>
      <c r="O108" s="201">
        <v>0</v>
      </c>
    </row>
    <row r="109" spans="1:15" s="182" customFormat="1" ht="66" customHeight="1">
      <c r="A109" s="198">
        <f t="shared" si="14"/>
        <v>79</v>
      </c>
      <c r="B109" s="203" t="s">
        <v>1015</v>
      </c>
      <c r="C109" s="200">
        <v>3691</v>
      </c>
      <c r="D109" s="200" t="s">
        <v>1017</v>
      </c>
      <c r="E109" s="196">
        <f t="shared" si="12"/>
        <v>102.02</v>
      </c>
      <c r="F109" s="201">
        <v>0</v>
      </c>
      <c r="G109" s="201">
        <v>0</v>
      </c>
      <c r="H109" s="201">
        <v>0</v>
      </c>
      <c r="I109" s="201">
        <v>0</v>
      </c>
      <c r="J109" s="201">
        <v>0</v>
      </c>
      <c r="K109" s="201">
        <v>0</v>
      </c>
      <c r="L109" s="201">
        <v>0</v>
      </c>
      <c r="M109" s="201">
        <v>102.02</v>
      </c>
      <c r="N109" s="201">
        <v>0</v>
      </c>
      <c r="O109" s="201">
        <v>0</v>
      </c>
    </row>
    <row r="110" spans="1:15" s="182" customFormat="1" ht="66" customHeight="1">
      <c r="A110" s="198">
        <f t="shared" si="14"/>
        <v>80</v>
      </c>
      <c r="B110" s="203" t="s">
        <v>1015</v>
      </c>
      <c r="C110" s="200">
        <v>3690</v>
      </c>
      <c r="D110" s="200" t="s">
        <v>1017</v>
      </c>
      <c r="E110" s="196">
        <f t="shared" si="12"/>
        <v>49.366</v>
      </c>
      <c r="F110" s="201">
        <v>49.366</v>
      </c>
      <c r="G110" s="201">
        <v>0</v>
      </c>
      <c r="H110" s="201">
        <v>0</v>
      </c>
      <c r="I110" s="201">
        <v>0</v>
      </c>
      <c r="J110" s="201">
        <v>0</v>
      </c>
      <c r="K110" s="201">
        <v>0</v>
      </c>
      <c r="L110" s="201">
        <v>0</v>
      </c>
      <c r="M110" s="201">
        <v>0</v>
      </c>
      <c r="N110" s="201">
        <v>0</v>
      </c>
      <c r="O110" s="201">
        <v>0</v>
      </c>
    </row>
    <row r="111" spans="1:15" s="182" customFormat="1" ht="63" customHeight="1">
      <c r="A111" s="198">
        <f t="shared" si="14"/>
        <v>81</v>
      </c>
      <c r="B111" s="211" t="s">
        <v>1018</v>
      </c>
      <c r="C111" s="200">
        <v>3644</v>
      </c>
      <c r="D111" s="200"/>
      <c r="E111" s="196">
        <f t="shared" si="12"/>
        <v>1.0547118733938987E-13</v>
      </c>
      <c r="F111" s="201">
        <v>0</v>
      </c>
      <c r="G111" s="201">
        <v>0</v>
      </c>
      <c r="H111" s="201">
        <v>-533.656</v>
      </c>
      <c r="I111" s="201">
        <v>534.69</v>
      </c>
      <c r="J111" s="201">
        <v>0</v>
      </c>
      <c r="K111" s="201">
        <v>0</v>
      </c>
      <c r="L111" s="201">
        <v>0</v>
      </c>
      <c r="M111" s="201">
        <v>0</v>
      </c>
      <c r="N111" s="201">
        <v>-1.034</v>
      </c>
      <c r="O111" s="201">
        <v>0</v>
      </c>
    </row>
    <row r="112" spans="1:15" s="182" customFormat="1" ht="131.25" customHeight="1">
      <c r="A112" s="198">
        <f t="shared" si="14"/>
        <v>82</v>
      </c>
      <c r="B112" s="203" t="s">
        <v>1019</v>
      </c>
      <c r="C112" s="200">
        <v>3704</v>
      </c>
      <c r="D112" s="200" t="s">
        <v>1020</v>
      </c>
      <c r="E112" s="196">
        <f t="shared" si="12"/>
        <v>578.0478</v>
      </c>
      <c r="F112" s="201">
        <v>0</v>
      </c>
      <c r="G112" s="201">
        <v>0</v>
      </c>
      <c r="H112" s="201">
        <v>0</v>
      </c>
      <c r="I112" s="201">
        <v>0</v>
      </c>
      <c r="J112" s="201">
        <v>215.414</v>
      </c>
      <c r="K112" s="201">
        <v>0</v>
      </c>
      <c r="L112" s="201">
        <v>0</v>
      </c>
      <c r="M112" s="201">
        <v>120</v>
      </c>
      <c r="N112" s="201">
        <v>242.6338</v>
      </c>
      <c r="O112" s="201">
        <v>0</v>
      </c>
    </row>
    <row r="113" spans="1:15" s="182" customFormat="1" ht="66" customHeight="1">
      <c r="A113" s="198">
        <f t="shared" si="14"/>
        <v>83</v>
      </c>
      <c r="B113" s="203" t="s">
        <v>1021</v>
      </c>
      <c r="C113" s="200">
        <v>2781</v>
      </c>
      <c r="D113" s="200" t="s">
        <v>1022</v>
      </c>
      <c r="E113" s="196">
        <f t="shared" si="12"/>
        <v>3051</v>
      </c>
      <c r="F113" s="201">
        <v>0</v>
      </c>
      <c r="G113" s="201">
        <v>0</v>
      </c>
      <c r="H113" s="201">
        <v>0</v>
      </c>
      <c r="I113" s="201">
        <v>0</v>
      </c>
      <c r="J113" s="201">
        <v>2734</v>
      </c>
      <c r="K113" s="201">
        <v>0</v>
      </c>
      <c r="L113" s="201">
        <v>317</v>
      </c>
      <c r="M113" s="201">
        <v>0</v>
      </c>
      <c r="N113" s="201">
        <v>0</v>
      </c>
      <c r="O113" s="201">
        <v>0</v>
      </c>
    </row>
    <row r="114" spans="1:15" s="182" customFormat="1" ht="66" customHeight="1">
      <c r="A114" s="198">
        <f t="shared" si="14"/>
        <v>84</v>
      </c>
      <c r="B114" s="203" t="s">
        <v>1023</v>
      </c>
      <c r="C114" s="200">
        <v>2781</v>
      </c>
      <c r="D114" s="200" t="s">
        <v>1022</v>
      </c>
      <c r="E114" s="196">
        <f t="shared" si="12"/>
        <v>948.722</v>
      </c>
      <c r="F114" s="201">
        <v>0</v>
      </c>
      <c r="G114" s="201">
        <v>0</v>
      </c>
      <c r="H114" s="201">
        <v>317</v>
      </c>
      <c r="I114" s="201">
        <v>314.722</v>
      </c>
      <c r="J114" s="201">
        <v>317</v>
      </c>
      <c r="K114" s="201">
        <v>0</v>
      </c>
      <c r="L114" s="201">
        <v>0</v>
      </c>
      <c r="M114" s="201">
        <v>0</v>
      </c>
      <c r="N114" s="201">
        <v>0</v>
      </c>
      <c r="O114" s="201">
        <v>0</v>
      </c>
    </row>
    <row r="115" spans="1:15" s="182" customFormat="1" ht="66" customHeight="1">
      <c r="A115" s="198">
        <f t="shared" si="14"/>
        <v>85</v>
      </c>
      <c r="B115" s="203" t="s">
        <v>1024</v>
      </c>
      <c r="C115" s="200">
        <v>2781</v>
      </c>
      <c r="D115" s="200" t="s">
        <v>1022</v>
      </c>
      <c r="E115" s="196">
        <f t="shared" si="12"/>
        <v>1000.278</v>
      </c>
      <c r="F115" s="201">
        <v>0</v>
      </c>
      <c r="G115" s="201">
        <v>0</v>
      </c>
      <c r="H115" s="201">
        <v>0</v>
      </c>
      <c r="I115" s="201">
        <v>0.278</v>
      </c>
      <c r="J115" s="201">
        <v>1000</v>
      </c>
      <c r="K115" s="201">
        <v>0</v>
      </c>
      <c r="L115" s="201">
        <v>0</v>
      </c>
      <c r="M115" s="201">
        <v>0</v>
      </c>
      <c r="N115" s="201">
        <v>0</v>
      </c>
      <c r="O115" s="201">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6" customFormat="1" ht="32.25" customHeight="1">
      <c r="A2" s="548" t="s">
        <v>1118</v>
      </c>
      <c r="B2" s="549"/>
      <c r="C2" s="549"/>
      <c r="D2" s="549"/>
      <c r="E2" s="549"/>
      <c r="F2" s="549"/>
      <c r="G2" s="549"/>
      <c r="H2" s="549"/>
    </row>
    <row r="3" spans="1:8" s="306" customFormat="1" ht="16.5">
      <c r="A3" s="307"/>
      <c r="G3" s="550" t="s">
        <v>1</v>
      </c>
      <c r="H3" s="550"/>
    </row>
    <row r="4" spans="1:11" s="308" customFormat="1" ht="33" customHeight="1">
      <c r="A4" s="551" t="s">
        <v>2</v>
      </c>
      <c r="B4" s="543" t="s">
        <v>1119</v>
      </c>
      <c r="C4" s="543" t="s">
        <v>1120</v>
      </c>
      <c r="D4" s="543" t="s">
        <v>1121</v>
      </c>
      <c r="E4" s="543" t="s">
        <v>1122</v>
      </c>
      <c r="F4" s="543" t="s">
        <v>1123</v>
      </c>
      <c r="G4" s="543" t="s">
        <v>1124</v>
      </c>
      <c r="H4" s="543" t="s">
        <v>1125</v>
      </c>
      <c r="I4" s="545" t="s">
        <v>66</v>
      </c>
      <c r="J4" s="546"/>
      <c r="K4" s="547" t="s">
        <v>1126</v>
      </c>
    </row>
    <row r="5" spans="1:11" s="306" customFormat="1" ht="66">
      <c r="A5" s="552"/>
      <c r="B5" s="544"/>
      <c r="C5" s="544"/>
      <c r="D5" s="544"/>
      <c r="E5" s="544"/>
      <c r="F5" s="544"/>
      <c r="G5" s="544"/>
      <c r="H5" s="544"/>
      <c r="I5" s="309" t="s">
        <v>1127</v>
      </c>
      <c r="J5" s="310" t="s">
        <v>1128</v>
      </c>
      <c r="K5" s="547"/>
    </row>
    <row r="6" spans="1:11" s="313" customFormat="1" ht="24.75" customHeight="1">
      <c r="A6" s="310" t="s">
        <v>5</v>
      </c>
      <c r="B6" s="311" t="s">
        <v>1129</v>
      </c>
      <c r="C6" s="312">
        <v>208</v>
      </c>
      <c r="D6" s="312">
        <f>SUM(D7:D17)</f>
        <v>6467.16</v>
      </c>
      <c r="E6" s="312">
        <f>E7+SUM(E10:E17)</f>
        <v>6538</v>
      </c>
      <c r="F6" s="312">
        <f>SUM(F7:F18)</f>
        <v>6406.747</v>
      </c>
      <c r="G6" s="312">
        <f>G7+G10+G11</f>
        <v>0</v>
      </c>
      <c r="H6" s="312">
        <f>SUM(H7:H17)</f>
        <v>931.4170000000001</v>
      </c>
      <c r="I6" s="312">
        <f>SUM(I7:I17)</f>
        <v>0</v>
      </c>
      <c r="J6" s="312">
        <f>J7+J10+J14+J17</f>
        <v>931.4170000000001</v>
      </c>
      <c r="K6" s="311"/>
    </row>
    <row r="7" spans="1:11" s="318" customFormat="1" ht="165">
      <c r="A7" s="314">
        <v>1</v>
      </c>
      <c r="B7" s="315" t="s">
        <v>1130</v>
      </c>
      <c r="C7" s="316">
        <v>207.815</v>
      </c>
      <c r="D7" s="316">
        <v>1784.1</v>
      </c>
      <c r="E7" s="316">
        <v>1800</v>
      </c>
      <c r="F7" s="316">
        <v>1991.924</v>
      </c>
      <c r="G7" s="316"/>
      <c r="H7" s="316">
        <f>E7+C7-F7</f>
        <v>15.891000000000076</v>
      </c>
      <c r="I7" s="316"/>
      <c r="J7" s="316">
        <f>H7</f>
        <v>15.891000000000076</v>
      </c>
      <c r="K7" s="317"/>
    </row>
    <row r="8" spans="1:11" s="306" customFormat="1" ht="99">
      <c r="A8" s="319" t="s">
        <v>8</v>
      </c>
      <c r="B8" s="320" t="s">
        <v>1131</v>
      </c>
      <c r="C8" s="321"/>
      <c r="D8" s="321"/>
      <c r="E8" s="321">
        <v>950</v>
      </c>
      <c r="F8" s="321"/>
      <c r="G8" s="321"/>
      <c r="H8" s="321"/>
      <c r="I8" s="321"/>
      <c r="J8" s="321"/>
      <c r="K8" s="322"/>
    </row>
    <row r="9" spans="1:11" s="306" customFormat="1" ht="99">
      <c r="A9" s="319" t="s">
        <v>8</v>
      </c>
      <c r="B9" s="320" t="s">
        <v>1132</v>
      </c>
      <c r="C9" s="321"/>
      <c r="D9" s="321"/>
      <c r="E9" s="321">
        <v>850</v>
      </c>
      <c r="F9" s="321"/>
      <c r="G9" s="321"/>
      <c r="H9" s="321"/>
      <c r="I9" s="321"/>
      <c r="J9" s="321"/>
      <c r="K9" s="322"/>
    </row>
    <row r="10" spans="1:11" s="318" customFormat="1" ht="115.5">
      <c r="A10" s="314">
        <v>2</v>
      </c>
      <c r="B10" s="315" t="s">
        <v>1133</v>
      </c>
      <c r="C10" s="316">
        <v>0</v>
      </c>
      <c r="D10" s="316">
        <v>325.06</v>
      </c>
      <c r="E10" s="316">
        <v>380</v>
      </c>
      <c r="F10" s="316">
        <v>325</v>
      </c>
      <c r="G10" s="316"/>
      <c r="H10" s="316">
        <f>E10-F10</f>
        <v>55</v>
      </c>
      <c r="I10" s="316"/>
      <c r="J10" s="316">
        <v>55</v>
      </c>
      <c r="K10" s="317"/>
    </row>
    <row r="11" spans="1:11" s="318" customFormat="1" ht="82.5">
      <c r="A11" s="314">
        <v>3</v>
      </c>
      <c r="B11" s="315" t="s">
        <v>1134</v>
      </c>
      <c r="C11" s="316"/>
      <c r="D11" s="316">
        <v>300</v>
      </c>
      <c r="E11" s="316">
        <v>300</v>
      </c>
      <c r="F11" s="316">
        <v>300</v>
      </c>
      <c r="G11" s="316"/>
      <c r="H11" s="316"/>
      <c r="I11" s="316"/>
      <c r="J11" s="316"/>
      <c r="K11" s="317"/>
    </row>
    <row r="12" spans="1:11" s="318" customFormat="1" ht="16.5">
      <c r="A12" s="314"/>
      <c r="B12" s="315"/>
      <c r="C12" s="316"/>
      <c r="D12" s="316"/>
      <c r="E12" s="316"/>
      <c r="F12" s="316">
        <v>942.349</v>
      </c>
      <c r="G12" s="316"/>
      <c r="H12" s="316"/>
      <c r="I12" s="316"/>
      <c r="J12" s="316"/>
      <c r="K12" s="317"/>
    </row>
    <row r="13" spans="1:11" s="318" customFormat="1" ht="82.5">
      <c r="A13" s="314">
        <v>4</v>
      </c>
      <c r="B13" s="315" t="s">
        <v>1135</v>
      </c>
      <c r="C13" s="316"/>
      <c r="D13" s="316">
        <v>300</v>
      </c>
      <c r="E13" s="316">
        <v>300</v>
      </c>
      <c r="F13" s="316">
        <v>300</v>
      </c>
      <c r="G13" s="316"/>
      <c r="H13" s="316"/>
      <c r="I13" s="316"/>
      <c r="J13" s="316"/>
      <c r="K13" s="317"/>
    </row>
    <row r="14" spans="1:11" s="318" customFormat="1" ht="99">
      <c r="A14" s="314">
        <v>5</v>
      </c>
      <c r="B14" s="315" t="s">
        <v>1136</v>
      </c>
      <c r="C14" s="316"/>
      <c r="D14" s="316">
        <v>1330</v>
      </c>
      <c r="E14" s="316">
        <v>1330</v>
      </c>
      <c r="F14" s="323">
        <f>'[3]Sheet1'!J19+'[3]Sheet1'!J20+'[3]Sheet1'!J21+'[3]Sheet1'!J22+'[3]Sheet1'!J23</f>
        <v>521.05</v>
      </c>
      <c r="G14" s="316"/>
      <c r="H14" s="316">
        <f>D14-F14</f>
        <v>808.95</v>
      </c>
      <c r="I14" s="316"/>
      <c r="J14" s="316">
        <f>H14</f>
        <v>808.95</v>
      </c>
      <c r="K14" s="317"/>
    </row>
    <row r="15" spans="1:11" s="318" customFormat="1" ht="49.5">
      <c r="A15" s="314">
        <v>6</v>
      </c>
      <c r="B15" s="315" t="s">
        <v>1137</v>
      </c>
      <c r="C15" s="316"/>
      <c r="D15" s="316">
        <v>1100</v>
      </c>
      <c r="E15" s="316">
        <v>1100</v>
      </c>
      <c r="F15" s="316">
        <f>'[3]Sheet1'!J26+'[3]Sheet1'!J27</f>
        <v>750</v>
      </c>
      <c r="G15" s="316"/>
      <c r="H15" s="316"/>
      <c r="I15" s="316"/>
      <c r="J15" s="316"/>
      <c r="K15" s="317"/>
    </row>
    <row r="16" spans="1:11" s="318" customFormat="1" ht="17.25" customHeight="1">
      <c r="A16" s="314">
        <v>7</v>
      </c>
      <c r="B16" s="315" t="s">
        <v>1138</v>
      </c>
      <c r="C16" s="316"/>
      <c r="D16" s="316">
        <v>826</v>
      </c>
      <c r="E16" s="316">
        <v>826</v>
      </c>
      <c r="F16" s="316">
        <v>826</v>
      </c>
      <c r="G16" s="316"/>
      <c r="H16" s="316"/>
      <c r="I16" s="316"/>
      <c r="J16" s="316"/>
      <c r="K16" s="317"/>
    </row>
    <row r="17" spans="1:11" s="318" customFormat="1" ht="66">
      <c r="A17" s="314">
        <v>8</v>
      </c>
      <c r="B17" s="315" t="s">
        <v>1139</v>
      </c>
      <c r="C17" s="316"/>
      <c r="D17" s="316">
        <v>502</v>
      </c>
      <c r="E17" s="316">
        <v>502</v>
      </c>
      <c r="F17" s="316">
        <v>450.424</v>
      </c>
      <c r="G17" s="316"/>
      <c r="H17" s="316">
        <v>51.576</v>
      </c>
      <c r="I17" s="316"/>
      <c r="J17" s="316">
        <v>51.576</v>
      </c>
      <c r="K17" s="317"/>
    </row>
    <row r="18" spans="1:11" s="318" customFormat="1" ht="16.5">
      <c r="A18" s="314"/>
      <c r="B18" s="315"/>
      <c r="C18" s="316"/>
      <c r="D18" s="316"/>
      <c r="E18" s="316"/>
      <c r="F18" s="316">
        <f>'[3]Sheet1'!J14</f>
        <v>0</v>
      </c>
      <c r="G18" s="316"/>
      <c r="H18" s="316"/>
      <c r="I18" s="316"/>
      <c r="J18" s="316"/>
      <c r="K18" s="317"/>
    </row>
    <row r="19" spans="1:11" s="318" customFormat="1" ht="16.5">
      <c r="A19" s="314"/>
      <c r="B19" s="315"/>
      <c r="C19" s="316"/>
      <c r="D19" s="316"/>
      <c r="E19" s="316"/>
      <c r="F19" s="316"/>
      <c r="G19" s="316"/>
      <c r="H19" s="316"/>
      <c r="I19" s="316"/>
      <c r="J19" s="316"/>
      <c r="K19" s="317"/>
    </row>
    <row r="20" spans="1:11" s="313" customFormat="1" ht="198">
      <c r="A20" s="310" t="s">
        <v>6</v>
      </c>
      <c r="B20" s="324" t="s">
        <v>1140</v>
      </c>
      <c r="C20" s="312"/>
      <c r="D20" s="312">
        <f>D21</f>
        <v>2028.205</v>
      </c>
      <c r="E20" s="312">
        <f>E21</f>
        <v>2865</v>
      </c>
      <c r="F20" s="312">
        <f>F21</f>
        <v>2028.205</v>
      </c>
      <c r="G20" s="312"/>
      <c r="H20" s="312"/>
      <c r="I20" s="312"/>
      <c r="J20" s="312"/>
      <c r="K20" s="325"/>
    </row>
    <row r="21" spans="1:11" s="306" customFormat="1" ht="26.25" customHeight="1">
      <c r="A21" s="326"/>
      <c r="B21" s="320" t="s">
        <v>1141</v>
      </c>
      <c r="C21" s="321"/>
      <c r="D21" s="321">
        <v>2028.205</v>
      </c>
      <c r="E21" s="321">
        <f>195+70+2600</f>
        <v>2865</v>
      </c>
      <c r="F21" s="321">
        <v>2028.205</v>
      </c>
      <c r="G21" s="321"/>
      <c r="H21" s="327">
        <f>E21-F21</f>
        <v>836.7950000000001</v>
      </c>
      <c r="I21" s="321"/>
      <c r="J21" s="327">
        <f>H21</f>
        <v>836.7950000000001</v>
      </c>
      <c r="K21" s="322" t="s">
        <v>1142</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2021-01-06T02:45:19Z</dcterms:modified>
  <cp:category/>
  <cp:version/>
  <cp:contentType/>
  <cp:contentStatus/>
</cp:coreProperties>
</file>